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8160" windowHeight="8700" activeTab="0"/>
  </bookViews>
  <sheets>
    <sheet name="Summary Page" sheetId="1" r:id="rId1"/>
    <sheet name="NG_Technologies" sheetId="2" r:id="rId2"/>
    <sheet name="Biogas_Technologies" sheetId="3" r:id="rId3"/>
    <sheet name="Pressure Reduction Turbines" sheetId="4" r:id="rId4"/>
    <sheet name="Waste Heat ORC" sheetId="5" r:id="rId5"/>
    <sheet name="Wind" sheetId="6" r:id="rId6"/>
  </sheets>
  <definedNames>
    <definedName name="_xlnm.Print_Area" localSheetId="3">'Pressure Reduction Turbines'!$A$1:$L$38</definedName>
    <definedName name="_xlnm.Print_Area" localSheetId="0">'Summary Page'!$A$1:$M$42</definedName>
    <definedName name="_xlnm.Print_Area" localSheetId="4">'Waste Heat ORC'!$A$1:$L$39</definedName>
  </definedNames>
  <calcPr fullCalcOnLoad="1"/>
</workbook>
</file>

<file path=xl/comments1.xml><?xml version="1.0" encoding="utf-8"?>
<comments xmlns="http://schemas.openxmlformats.org/spreadsheetml/2006/main">
  <authors>
    <author>NMR</author>
  </authors>
  <commentList>
    <comment ref="A27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A2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A33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G4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ITC Source: http://thomas.loc.gov/home/h1/Recovery_Bill_Div_B.pdf</t>
        </r>
      </text>
    </comment>
    <comment ref="A28" authorId="0">
      <text>
        <r>
          <rPr>
            <b/>
            <sz val="8"/>
            <rFont val="Tahoma"/>
            <family val="2"/>
          </rPr>
          <t>NMR: Source: California Energy Commission, California State-Wide Weighted Average Retail Electricity Prices 1982 – 2008.</t>
        </r>
      </text>
    </comment>
  </commentList>
</comments>
</file>

<file path=xl/comments2.xml><?xml version="1.0" encoding="utf-8"?>
<comments xmlns="http://schemas.openxmlformats.org/spreadsheetml/2006/main">
  <authors>
    <author>NMR</author>
  </authors>
  <commentList>
    <comment ref="C7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4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4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5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5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6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9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9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10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10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1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C15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15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6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19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0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20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21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212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5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5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A14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14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</commentList>
</comments>
</file>

<file path=xl/comments3.xml><?xml version="1.0" encoding="utf-8"?>
<comments xmlns="http://schemas.openxmlformats.org/spreadsheetml/2006/main">
  <authors>
    <author>NMR</author>
  </authors>
  <commentList>
    <comment ref="C7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4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4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5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5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6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9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9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10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10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1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14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14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15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15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16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19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0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  <comment ref="C20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21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212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50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251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</commentList>
</comments>
</file>

<file path=xl/comments4.xml><?xml version="1.0" encoding="utf-8"?>
<comments xmlns="http://schemas.openxmlformats.org/spreadsheetml/2006/main">
  <authors>
    <author>NMR</author>
  </authors>
  <commentList>
    <comment ref="C5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6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A37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3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</commentList>
</comments>
</file>

<file path=xl/comments5.xml><?xml version="1.0" encoding="utf-8"?>
<comments xmlns="http://schemas.openxmlformats.org/spreadsheetml/2006/main">
  <authors>
    <author>NMR</author>
  </authors>
  <commentList>
    <comment ref="C5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C6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A3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39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</commentList>
</comments>
</file>

<file path=xl/comments6.xml><?xml version="1.0" encoding="utf-8"?>
<comments xmlns="http://schemas.openxmlformats.org/spreadsheetml/2006/main">
  <authors>
    <author>NMR</author>
  </authors>
  <commentList>
    <comment ref="C6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Metering Costs reported by PG&amp;E A-10 TOU to be: $3.94251 per meter per day</t>
        </r>
      </text>
    </comment>
    <comment ref="C5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 Multiplied by Utility price escalation for future years.
</t>
        </r>
      </text>
    </comment>
    <comment ref="A37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MPR CA Gas Forecast (Nominal dollars) Public Utilities Code § 399.20  2009 Model</t>
        </r>
      </text>
    </comment>
    <comment ref="A38" authorId="0">
      <text>
        <r>
          <rPr>
            <b/>
            <sz val="8"/>
            <rFont val="Tahoma"/>
            <family val="2"/>
          </rPr>
          <t>NMR:</t>
        </r>
        <r>
          <rPr>
            <sz val="8"/>
            <rFont val="Tahoma"/>
            <family val="2"/>
          </rPr>
          <t xml:space="preserve">
PG&amp;E A-10 TOU (http://www.pge.com/nots/rates/tariffs/CommercialCurrent.xls), average $/kWh rate for year.</t>
        </r>
      </text>
    </comment>
  </commentList>
</comments>
</file>

<file path=xl/sharedStrings.xml><?xml version="1.0" encoding="utf-8"?>
<sst xmlns="http://schemas.openxmlformats.org/spreadsheetml/2006/main" count="766" uniqueCount="111">
  <si>
    <t>Technology Type</t>
  </si>
  <si>
    <t xml:space="preserve">Installed Cost ($) </t>
  </si>
  <si>
    <t>CHP - Microturbine</t>
  </si>
  <si>
    <t>Capacity (kW)</t>
  </si>
  <si>
    <t>Installed Cost ($/kW)</t>
  </si>
  <si>
    <t>Incentive Amount ($/kW)</t>
  </si>
  <si>
    <t xml:space="preserve">O&amp;M or Warranty Cost ($/kWh) </t>
  </si>
  <si>
    <t>Incentive Payment in 1st Year</t>
  </si>
  <si>
    <t>ITC (%)</t>
  </si>
  <si>
    <t>Incentive Payment Period (yrs)</t>
  </si>
  <si>
    <t>Electrical efficiency</t>
  </si>
  <si>
    <t>CHP - Gas Turbine</t>
  </si>
  <si>
    <t>Discount Rate (%)</t>
  </si>
  <si>
    <t>System efficiency</t>
  </si>
  <si>
    <t>Degradation (%/yr)</t>
  </si>
  <si>
    <t>Electricity cost ($/kWh)</t>
  </si>
  <si>
    <t>Utility price escalation (%/yr)</t>
  </si>
  <si>
    <t>Metering Cost ($/yr)</t>
  </si>
  <si>
    <t>Capacity Factor</t>
  </si>
  <si>
    <t>Hours of operation/yr</t>
  </si>
  <si>
    <t>NG Cost ($/MMBtu)</t>
  </si>
  <si>
    <t>Pressure Reduction</t>
  </si>
  <si>
    <t>California Adder?</t>
  </si>
  <si>
    <t>Wind Turbine</t>
  </si>
  <si>
    <t>Heat Rate</t>
  </si>
  <si>
    <t>kW per Btu</t>
  </si>
  <si>
    <t>Year</t>
  </si>
  <si>
    <t>Electricity generated (kWh)</t>
  </si>
  <si>
    <t>Value of avoided electricity</t>
  </si>
  <si>
    <t>NG Consumed (MMBtu)</t>
  </si>
  <si>
    <t>Heat recovered (MMBtu)</t>
  </si>
  <si>
    <t>Heat recovery rate (%)</t>
  </si>
  <si>
    <t>Avoided NG consumption (MMBtu)</t>
  </si>
  <si>
    <t>Value of avoided NG</t>
  </si>
  <si>
    <t>Cost of NG Consumed ($)</t>
  </si>
  <si>
    <t>O&amp;M Costs</t>
  </si>
  <si>
    <t>California Adder</t>
  </si>
  <si>
    <t xml:space="preserve">ITC </t>
  </si>
  <si>
    <t>Cash Flow</t>
  </si>
  <si>
    <t>Cumulative Cash Flow</t>
  </si>
  <si>
    <t>Net Present Value</t>
  </si>
  <si>
    <t>IRR</t>
  </si>
  <si>
    <t>Break Even (yrs)</t>
  </si>
  <si>
    <t>Cost Forecasts</t>
  </si>
  <si>
    <t>NG</t>
  </si>
  <si>
    <t>Electricity</t>
  </si>
  <si>
    <t>Yes</t>
  </si>
  <si>
    <t>No</t>
  </si>
  <si>
    <t>Technology</t>
  </si>
  <si>
    <t>Electrical Efficiency</t>
  </si>
  <si>
    <t>Maximum ITC ($/kW)</t>
  </si>
  <si>
    <t>&gt; 0.5 kW</t>
  </si>
  <si>
    <t>&lt; 50 MW</t>
  </si>
  <si>
    <t>ITC</t>
  </si>
  <si>
    <t>ITC Initial</t>
  </si>
  <si>
    <t>ITC Cap MTs</t>
  </si>
  <si>
    <t>ITC Cap FCs</t>
  </si>
  <si>
    <t>NA</t>
  </si>
  <si>
    <t>Cost</t>
  </si>
  <si>
    <t>Federal Investment Tax Credit</t>
  </si>
  <si>
    <t xml:space="preserve">ITC Eligible Size </t>
  </si>
  <si>
    <t>O&amp;M ($/kWh)</t>
  </si>
  <si>
    <t>Renewable Fuel Clean Up ($/kW)</t>
  </si>
  <si>
    <t>Avoided Boiler efficiency</t>
  </si>
  <si>
    <t>Capcity Factor</t>
  </si>
  <si>
    <t>Electricity price escalation (%/yr)</t>
  </si>
  <si>
    <t>Inputs - General</t>
  </si>
  <si>
    <t>Avoided electricity price ($/kWh)</t>
  </si>
  <si>
    <t>Performance degradation (%/yr)</t>
  </si>
  <si>
    <t>Sample System Size (kW)</t>
  </si>
  <si>
    <t>Inputs - Technology Specific</t>
  </si>
  <si>
    <t>Expected Performance</t>
  </si>
  <si>
    <t>Total System Efficiency</t>
  </si>
  <si>
    <t xml:space="preserve">Outputs </t>
  </si>
  <si>
    <t>Expected IRR (%)</t>
  </si>
  <si>
    <t>NPV ($)</t>
  </si>
  <si>
    <t>Note: All inputs and assumptions should be manipulated on this tab.</t>
  </si>
  <si>
    <t>Boiler Efficiency</t>
  </si>
  <si>
    <t>Metering Cost - Tariff Based</t>
  </si>
  <si>
    <t>Metering Cost - Tariff related ($/yr)</t>
  </si>
  <si>
    <t>Metering Cost - Waste heat ($)</t>
  </si>
  <si>
    <t>Metering Cost - Fuel input ($)</t>
  </si>
  <si>
    <t>Metering Cost - Electricity output ($)</t>
  </si>
  <si>
    <t>Metering Cost - Electricity output</t>
  </si>
  <si>
    <t xml:space="preserve">Cost of NG Consumed </t>
  </si>
  <si>
    <t>Metering Cost - Fuel consumption</t>
  </si>
  <si>
    <t xml:space="preserve">Metering Cost - Waste heat </t>
  </si>
  <si>
    <t>% of incentive paid for 1st MW</t>
  </si>
  <si>
    <t>% of incentive paid for 2nd MW</t>
  </si>
  <si>
    <t>% of incentive paid for 3rd MW</t>
  </si>
  <si>
    <t>Incentive Amount - 1st MW ($/kW)</t>
  </si>
  <si>
    <t>Incentive Amount - 2nd MW ($/kW)</t>
  </si>
  <si>
    <t>Incentive Amount - 3rd MW ($/kW)</t>
  </si>
  <si>
    <t>1st MW payment</t>
  </si>
  <si>
    <t>2nd MW payment</t>
  </si>
  <si>
    <t>3rd MW payment</t>
  </si>
  <si>
    <t>SGIP Incentive Payment</t>
  </si>
  <si>
    <t>Fuel Cell - Electric Only</t>
  </si>
  <si>
    <t>Fuel Cell - Electric Only (Biogas)</t>
  </si>
  <si>
    <t>Fuel Cell - CHP</t>
  </si>
  <si>
    <t>Fuel Cell - CHP (Biogas)</t>
  </si>
  <si>
    <t>Gas Turbine - CHP</t>
  </si>
  <si>
    <t>Gas Turbine - CHP (Biogas)</t>
  </si>
  <si>
    <t>Microturbine - CHP</t>
  </si>
  <si>
    <t>Microturbine - CHP (Biogas)</t>
  </si>
  <si>
    <t>IC Engine - CHP</t>
  </si>
  <si>
    <t>IC Engine - CHP (Biogas)</t>
  </si>
  <si>
    <t>Organic Rankine Cycle</t>
  </si>
  <si>
    <t xml:space="preserve">Fuel Cell - CHP </t>
  </si>
  <si>
    <t>Simple Payback (years)*</t>
  </si>
  <si>
    <t>* "#REF!" indicates that the technology will not break even during the expected lifetime.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</si>
</sst>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0.0%"/>
    <numFmt numFmtId="168" formatCode="&quot;$&quot;#,##0.0000"/>
    <numFmt numFmtId="169" formatCode="0.000%"/>
    <numFmt numFmtId="170" formatCode="0.0"/>
    <numFmt numFmtId="171" formatCode="&quot;$&quot;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0" fontId="8" fillId="0" borderId="0" xfId="0" applyFont="1" applyAlignment="1">
      <alignment/>
    </xf>
    <xf numFmtId="168" fontId="2" fillId="0" borderId="0" xfId="0" applyNumberFormat="1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165" fontId="0" fillId="0" borderId="16" xfId="0" applyNumberFormat="1" applyBorder="1" applyAlignment="1">
      <alignment/>
    </xf>
    <xf numFmtId="164" fontId="0" fillId="34" borderId="16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10" fontId="0" fillId="34" borderId="16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0" fontId="1" fillId="36" borderId="16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9" fontId="0" fillId="36" borderId="16" xfId="0" applyNumberForma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165" fontId="0" fillId="36" borderId="16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7" fontId="0" fillId="36" borderId="16" xfId="44" applyNumberFormat="1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9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6" fontId="0" fillId="36" borderId="16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9" fontId="0" fillId="36" borderId="16" xfId="59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73" fontId="0" fillId="36" borderId="16" xfId="44" applyNumberFormat="1" applyFont="1" applyFill="1" applyBorder="1" applyAlignment="1">
      <alignment/>
    </xf>
    <xf numFmtId="4" fontId="0" fillId="37" borderId="16" xfId="0" applyNumberFormat="1" applyFill="1" applyBorder="1" applyAlignment="1">
      <alignment/>
    </xf>
    <xf numFmtId="10" fontId="0" fillId="37" borderId="16" xfId="0" applyNumberFormat="1" applyFill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5" borderId="2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Border="1" applyAlignment="1">
      <alignment/>
    </xf>
    <xf numFmtId="164" fontId="0" fillId="37" borderId="19" xfId="0" applyNumberFormat="1" applyFill="1" applyBorder="1" applyAlignment="1">
      <alignment/>
    </xf>
    <xf numFmtId="10" fontId="0" fillId="37" borderId="21" xfId="0" applyNumberFormat="1" applyFill="1" applyBorder="1" applyAlignment="1">
      <alignment/>
    </xf>
    <xf numFmtId="4" fontId="0" fillId="37" borderId="21" xfId="0" applyNumberFormat="1" applyFill="1" applyBorder="1" applyAlignment="1">
      <alignment/>
    </xf>
    <xf numFmtId="164" fontId="0" fillId="37" borderId="22" xfId="0" applyNumberFormat="1" applyFill="1" applyBorder="1" applyAlignment="1">
      <alignment/>
    </xf>
    <xf numFmtId="9" fontId="1" fillId="37" borderId="23" xfId="0" applyNumberFormat="1" applyFont="1" applyFill="1" applyBorder="1" applyAlignment="1">
      <alignment/>
    </xf>
    <xf numFmtId="9" fontId="1" fillId="36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166" fontId="0" fillId="34" borderId="16" xfId="0" applyNumberFormat="1" applyFill="1" applyBorder="1" applyAlignment="1">
      <alignment/>
    </xf>
    <xf numFmtId="9" fontId="0" fillId="34" borderId="16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167" fontId="0" fillId="34" borderId="16" xfId="0" applyNumberFormat="1" applyFill="1" applyBorder="1" applyAlignment="1">
      <alignment/>
    </xf>
    <xf numFmtId="1" fontId="0" fillId="34" borderId="16" xfId="59" applyNumberFormat="1" applyFont="1" applyFill="1" applyBorder="1" applyAlignment="1">
      <alignment/>
    </xf>
    <xf numFmtId="2" fontId="0" fillId="34" borderId="16" xfId="59" applyNumberFormat="1" applyFont="1" applyFill="1" applyBorder="1" applyAlignment="1">
      <alignment/>
    </xf>
    <xf numFmtId="10" fontId="0" fillId="34" borderId="16" xfId="0" applyNumberFormat="1" applyFill="1" applyBorder="1" applyAlignment="1">
      <alignment horizontal="right"/>
    </xf>
    <xf numFmtId="7" fontId="0" fillId="34" borderId="16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65" fontId="0" fillId="38" borderId="0" xfId="0" applyNumberFormat="1" applyFill="1" applyBorder="1" applyAlignment="1">
      <alignment/>
    </xf>
    <xf numFmtId="168" fontId="2" fillId="38" borderId="0" xfId="0" applyNumberFormat="1" applyFont="1" applyFill="1" applyBorder="1" applyAlignment="1">
      <alignment wrapText="1"/>
    </xf>
    <xf numFmtId="168" fontId="0" fillId="38" borderId="0" xfId="0" applyNumberFormat="1" applyFill="1" applyBorder="1" applyAlignment="1">
      <alignment wrapText="1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1" fillId="34" borderId="2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0" fontId="0" fillId="34" borderId="25" xfId="0" applyNumberFormat="1" applyFill="1" applyBorder="1" applyAlignment="1">
      <alignment horizontal="right"/>
    </xf>
    <xf numFmtId="3" fontId="0" fillId="34" borderId="25" xfId="0" applyNumberFormat="1" applyFill="1" applyBorder="1" applyAlignment="1">
      <alignment/>
    </xf>
    <xf numFmtId="0" fontId="0" fillId="0" borderId="20" xfId="0" applyFill="1" applyBorder="1" applyAlignment="1">
      <alignment/>
    </xf>
    <xf numFmtId="168" fontId="0" fillId="0" borderId="26" xfId="0" applyNumberFormat="1" applyBorder="1" applyAlignment="1">
      <alignment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 wrapText="1"/>
    </xf>
    <xf numFmtId="164" fontId="0" fillId="36" borderId="16" xfId="0" applyNumberForma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165" fontId="0" fillId="0" borderId="27" xfId="0" applyNumberFormat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4">
      <selection activeCell="A1" sqref="A1"/>
    </sheetView>
  </sheetViews>
  <sheetFormatPr defaultColWidth="12.7109375" defaultRowHeight="12.75"/>
  <cols>
    <col min="1" max="1" width="31.7109375" style="0" customWidth="1"/>
    <col min="2" max="3" width="12.7109375" style="0" customWidth="1"/>
    <col min="4" max="4" width="26.140625" style="0" customWidth="1"/>
    <col min="5" max="6" width="10.421875" style="0" customWidth="1"/>
    <col min="7" max="7" width="11.7109375" style="0" customWidth="1"/>
    <col min="8" max="9" width="12.7109375" style="0" customWidth="1"/>
    <col min="10" max="10" width="10.57421875" style="0" customWidth="1"/>
    <col min="11" max="11" width="11.7109375" style="0" customWidth="1"/>
  </cols>
  <sheetData>
    <row r="1" spans="1:5" ht="12.75">
      <c r="A1" s="35" t="s">
        <v>76</v>
      </c>
      <c r="B1" s="35"/>
      <c r="E1" s="95"/>
    </row>
    <row r="2" spans="1:2" ht="12.75">
      <c r="A2" s="35"/>
      <c r="B2" s="35"/>
    </row>
    <row r="3" spans="1:11" ht="12.75">
      <c r="A3" s="80" t="s">
        <v>70</v>
      </c>
      <c r="B3" s="38"/>
      <c r="C3" s="129" t="s">
        <v>58</v>
      </c>
      <c r="D3" s="129"/>
      <c r="E3" s="129" t="s">
        <v>59</v>
      </c>
      <c r="F3" s="129"/>
      <c r="G3" s="129"/>
      <c r="H3" s="130" t="s">
        <v>71</v>
      </c>
      <c r="I3" s="131"/>
      <c r="J3" s="132"/>
      <c r="K3" s="38"/>
    </row>
    <row r="4" spans="1:14" ht="38.25">
      <c r="A4" s="59" t="s">
        <v>48</v>
      </c>
      <c r="B4" s="60" t="s">
        <v>69</v>
      </c>
      <c r="C4" s="60" t="s">
        <v>4</v>
      </c>
      <c r="D4" s="60" t="s">
        <v>61</v>
      </c>
      <c r="E4" s="60" t="s">
        <v>8</v>
      </c>
      <c r="F4" s="60" t="s">
        <v>50</v>
      </c>
      <c r="G4" s="60" t="s">
        <v>60</v>
      </c>
      <c r="H4" s="60" t="s">
        <v>49</v>
      </c>
      <c r="I4" s="60" t="s">
        <v>72</v>
      </c>
      <c r="J4" s="61" t="s">
        <v>64</v>
      </c>
      <c r="K4" s="61" t="s">
        <v>5</v>
      </c>
      <c r="M4" s="53" t="s">
        <v>62</v>
      </c>
      <c r="N4" s="123"/>
    </row>
    <row r="5" spans="1:14" ht="12.75">
      <c r="A5" s="37"/>
      <c r="B5" s="54"/>
      <c r="C5" s="54"/>
      <c r="D5" s="55"/>
      <c r="E5" s="55"/>
      <c r="F5" s="54"/>
      <c r="G5" s="55"/>
      <c r="H5" s="55"/>
      <c r="I5" s="55"/>
      <c r="J5" s="55"/>
      <c r="K5" s="55"/>
      <c r="M5" s="40">
        <v>2500</v>
      </c>
      <c r="N5" s="32"/>
    </row>
    <row r="7" spans="1:11" ht="12.75">
      <c r="A7" s="124" t="s">
        <v>23</v>
      </c>
      <c r="B7" s="46">
        <v>387</v>
      </c>
      <c r="C7" s="108">
        <v>3095.5849137931</v>
      </c>
      <c r="D7" s="62">
        <v>0.0075</v>
      </c>
      <c r="E7" s="56">
        <v>0.3</v>
      </c>
      <c r="F7" s="57"/>
      <c r="G7" s="38"/>
      <c r="H7" s="58" t="s">
        <v>57</v>
      </c>
      <c r="I7" s="58" t="s">
        <v>57</v>
      </c>
      <c r="J7" s="64">
        <v>0.2</v>
      </c>
      <c r="K7" s="67">
        <v>0</v>
      </c>
    </row>
    <row r="8" spans="1:11" ht="12.75">
      <c r="A8" s="4" t="s">
        <v>97</v>
      </c>
      <c r="B8" s="46">
        <v>100</v>
      </c>
      <c r="C8" s="108">
        <v>9608.01</v>
      </c>
      <c r="D8" s="62">
        <v>0.02</v>
      </c>
      <c r="E8" s="56">
        <v>0.3</v>
      </c>
      <c r="F8" s="57">
        <v>3000</v>
      </c>
      <c r="G8" s="38" t="s">
        <v>51</v>
      </c>
      <c r="H8" s="63">
        <v>0.46</v>
      </c>
      <c r="I8" s="63">
        <v>0.46</v>
      </c>
      <c r="J8" s="64">
        <v>0.8</v>
      </c>
      <c r="K8" s="67">
        <v>0</v>
      </c>
    </row>
    <row r="9" spans="1:11" ht="12.75">
      <c r="A9" s="4" t="s">
        <v>98</v>
      </c>
      <c r="B9" s="46">
        <v>100</v>
      </c>
      <c r="C9" s="108">
        <f>C8+$M$5</f>
        <v>12108.01</v>
      </c>
      <c r="D9" s="62">
        <v>0.04</v>
      </c>
      <c r="E9" s="56">
        <v>0.3</v>
      </c>
      <c r="F9" s="57">
        <v>3000</v>
      </c>
      <c r="G9" s="38" t="s">
        <v>51</v>
      </c>
      <c r="H9" s="63">
        <v>0.46</v>
      </c>
      <c r="I9" s="63">
        <v>0.46</v>
      </c>
      <c r="J9" s="64">
        <v>0.8</v>
      </c>
      <c r="K9" s="67">
        <v>0</v>
      </c>
    </row>
    <row r="10" spans="1:11" ht="12.75">
      <c r="A10" s="4" t="s">
        <v>108</v>
      </c>
      <c r="B10" s="46">
        <v>400</v>
      </c>
      <c r="C10" s="108">
        <v>7268.49572642857</v>
      </c>
      <c r="D10" s="62">
        <v>0.03</v>
      </c>
      <c r="E10" s="56">
        <v>0.3</v>
      </c>
      <c r="F10" s="57">
        <v>3000</v>
      </c>
      <c r="G10" s="38" t="s">
        <v>51</v>
      </c>
      <c r="H10" s="63">
        <v>0.412</v>
      </c>
      <c r="I10" s="63">
        <v>0.62</v>
      </c>
      <c r="J10" s="64">
        <v>0.8</v>
      </c>
      <c r="K10" s="67">
        <v>0</v>
      </c>
    </row>
    <row r="11" spans="1:11" ht="12.75">
      <c r="A11" s="4" t="s">
        <v>100</v>
      </c>
      <c r="B11" s="46">
        <v>400</v>
      </c>
      <c r="C11" s="108">
        <f>C10+$M$5</f>
        <v>9768.49572642857</v>
      </c>
      <c r="D11" s="62">
        <v>0.054</v>
      </c>
      <c r="E11" s="56">
        <v>0.3</v>
      </c>
      <c r="F11" s="57">
        <v>3000</v>
      </c>
      <c r="G11" s="38" t="s">
        <v>51</v>
      </c>
      <c r="H11" s="63">
        <v>0.412</v>
      </c>
      <c r="I11" s="63">
        <v>0.412</v>
      </c>
      <c r="J11" s="64">
        <v>0.8</v>
      </c>
      <c r="K11" s="67">
        <v>0</v>
      </c>
    </row>
    <row r="12" spans="1:11" ht="12.75">
      <c r="A12" s="4" t="s">
        <v>101</v>
      </c>
      <c r="B12" s="46">
        <v>1000</v>
      </c>
      <c r="C12" s="108">
        <v>2347.09</v>
      </c>
      <c r="D12" s="62">
        <v>0.0195</v>
      </c>
      <c r="E12" s="56">
        <v>0.1</v>
      </c>
      <c r="F12" s="57"/>
      <c r="G12" s="38" t="s">
        <v>52</v>
      </c>
      <c r="H12" s="63">
        <v>0.29</v>
      </c>
      <c r="I12" s="63">
        <v>0.62</v>
      </c>
      <c r="J12" s="64">
        <v>0.8</v>
      </c>
      <c r="K12" s="67">
        <v>0</v>
      </c>
    </row>
    <row r="13" spans="1:11" ht="12.75">
      <c r="A13" s="4" t="s">
        <v>102</v>
      </c>
      <c r="B13" s="46">
        <v>1000</v>
      </c>
      <c r="C13" s="108">
        <f>C12+$M$5</f>
        <v>4847.09</v>
      </c>
      <c r="D13" s="62">
        <v>0.054</v>
      </c>
      <c r="E13" s="56">
        <v>0.1</v>
      </c>
      <c r="F13" s="57"/>
      <c r="G13" s="38" t="s">
        <v>52</v>
      </c>
      <c r="H13" s="63">
        <v>0.29</v>
      </c>
      <c r="I13" s="63">
        <v>0.29</v>
      </c>
      <c r="J13" s="64">
        <v>0.8</v>
      </c>
      <c r="K13" s="67">
        <v>0</v>
      </c>
    </row>
    <row r="14" spans="1:11" ht="12.75">
      <c r="A14" s="4" t="s">
        <v>103</v>
      </c>
      <c r="B14" s="46">
        <v>165</v>
      </c>
      <c r="C14" s="108">
        <v>3293.441791857986</v>
      </c>
      <c r="D14" s="62">
        <v>0.02</v>
      </c>
      <c r="E14" s="56">
        <v>0.1</v>
      </c>
      <c r="F14" s="57">
        <v>200</v>
      </c>
      <c r="G14" s="38"/>
      <c r="H14" s="63">
        <v>0.252</v>
      </c>
      <c r="I14" s="63">
        <v>0.62</v>
      </c>
      <c r="J14" s="64">
        <v>0.8</v>
      </c>
      <c r="K14" s="67">
        <v>0</v>
      </c>
    </row>
    <row r="15" spans="1:11" ht="12.75">
      <c r="A15" s="4" t="s">
        <v>104</v>
      </c>
      <c r="B15" s="46">
        <v>165</v>
      </c>
      <c r="C15" s="108">
        <f>C14+$M$5</f>
        <v>5793.441791857986</v>
      </c>
      <c r="D15" s="62">
        <v>0.086</v>
      </c>
      <c r="E15" s="56">
        <v>0.1</v>
      </c>
      <c r="F15" s="57">
        <v>200</v>
      </c>
      <c r="G15" s="38"/>
      <c r="H15" s="63">
        <v>0.252</v>
      </c>
      <c r="I15" s="63">
        <v>0.252</v>
      </c>
      <c r="J15" s="64">
        <v>0.8</v>
      </c>
      <c r="K15" s="67">
        <v>0</v>
      </c>
    </row>
    <row r="16" spans="1:11" ht="12.75">
      <c r="A16" s="4" t="s">
        <v>105</v>
      </c>
      <c r="B16" s="46">
        <v>800</v>
      </c>
      <c r="C16" s="108">
        <v>2321.88154784479</v>
      </c>
      <c r="D16" s="62">
        <v>0.0195</v>
      </c>
      <c r="E16" s="56">
        <v>0.1</v>
      </c>
      <c r="F16" s="57"/>
      <c r="G16" s="38" t="s">
        <v>52</v>
      </c>
      <c r="H16" s="63">
        <v>0.35</v>
      </c>
      <c r="I16" s="63">
        <v>0.62</v>
      </c>
      <c r="J16" s="64">
        <v>0.8</v>
      </c>
      <c r="K16" s="67">
        <v>0</v>
      </c>
    </row>
    <row r="17" spans="1:11" ht="12.75">
      <c r="A17" s="4" t="s">
        <v>106</v>
      </c>
      <c r="B17" s="46">
        <v>800</v>
      </c>
      <c r="C17" s="108">
        <f>C16+$M$5</f>
        <v>4821.8815478447905</v>
      </c>
      <c r="D17" s="62">
        <v>0.054</v>
      </c>
      <c r="E17" s="56">
        <v>0.1</v>
      </c>
      <c r="F17" s="57"/>
      <c r="G17" s="38" t="s">
        <v>52</v>
      </c>
      <c r="H17" s="63">
        <v>0.35</v>
      </c>
      <c r="I17" s="63">
        <v>0.35</v>
      </c>
      <c r="J17" s="64">
        <v>0.8</v>
      </c>
      <c r="K17" s="67">
        <v>0</v>
      </c>
    </row>
    <row r="18" spans="1:11" ht="12.75">
      <c r="A18" s="2" t="s">
        <v>107</v>
      </c>
      <c r="B18" s="46">
        <v>100</v>
      </c>
      <c r="C18" s="108">
        <v>2858</v>
      </c>
      <c r="D18" s="62">
        <v>0.01</v>
      </c>
      <c r="E18" s="56">
        <v>0</v>
      </c>
      <c r="F18" s="57"/>
      <c r="G18" s="38"/>
      <c r="H18" s="58" t="s">
        <v>57</v>
      </c>
      <c r="I18" s="58" t="s">
        <v>57</v>
      </c>
      <c r="J18" s="64">
        <v>0.8</v>
      </c>
      <c r="K18" s="67">
        <v>0</v>
      </c>
    </row>
    <row r="19" spans="1:11" ht="12.75">
      <c r="A19" s="2" t="s">
        <v>21</v>
      </c>
      <c r="B19" s="46">
        <v>100</v>
      </c>
      <c r="C19" s="108">
        <v>3488</v>
      </c>
      <c r="D19" s="62">
        <v>0.01</v>
      </c>
      <c r="E19" s="56">
        <v>0.3</v>
      </c>
      <c r="F19" s="57"/>
      <c r="G19" s="38"/>
      <c r="H19" s="58" t="s">
        <v>57</v>
      </c>
      <c r="I19" s="58" t="s">
        <v>57</v>
      </c>
      <c r="J19" s="64">
        <v>0.8</v>
      </c>
      <c r="K19" s="67">
        <v>0</v>
      </c>
    </row>
    <row r="20" ht="12.75">
      <c r="H20" s="13"/>
    </row>
    <row r="21" spans="4:8" ht="13.5" thickBot="1">
      <c r="D21" s="13"/>
      <c r="H21" s="13"/>
    </row>
    <row r="22" spans="1:12" ht="12.75">
      <c r="A22" s="80" t="s">
        <v>66</v>
      </c>
      <c r="B22" s="39"/>
      <c r="D22" s="79" t="s">
        <v>73</v>
      </c>
      <c r="E22" s="126"/>
      <c r="F22" s="127"/>
      <c r="G22" s="128"/>
      <c r="K22" s="3"/>
      <c r="L22" s="3"/>
    </row>
    <row r="23" spans="1:11" ht="38.25">
      <c r="A23" s="39" t="s">
        <v>7</v>
      </c>
      <c r="B23" s="47">
        <v>0.25</v>
      </c>
      <c r="C23" s="5"/>
      <c r="D23" s="70" t="s">
        <v>48</v>
      </c>
      <c r="E23" s="60" t="s">
        <v>74</v>
      </c>
      <c r="F23" s="60" t="s">
        <v>109</v>
      </c>
      <c r="G23" s="71" t="s">
        <v>75</v>
      </c>
      <c r="H23" s="3"/>
      <c r="J23" s="3">
        <v>4</v>
      </c>
      <c r="K23" s="3"/>
    </row>
    <row r="24" spans="1:10" ht="12.75">
      <c r="A24" s="39" t="s">
        <v>9</v>
      </c>
      <c r="B24" s="51">
        <v>5</v>
      </c>
      <c r="D24" s="72"/>
      <c r="E24" s="54"/>
      <c r="F24" s="54"/>
      <c r="G24" s="73"/>
      <c r="I24" s="3">
        <v>5</v>
      </c>
      <c r="J24" s="3"/>
    </row>
    <row r="25" spans="1:13" ht="12.75">
      <c r="A25" s="39" t="s">
        <v>22</v>
      </c>
      <c r="B25" s="45" t="s">
        <v>46</v>
      </c>
      <c r="C25" s="3" t="s">
        <v>46</v>
      </c>
      <c r="D25" s="121" t="s">
        <v>23</v>
      </c>
      <c r="E25" s="69">
        <f>Wind!$B$32</f>
        <v>0.0776843132110352</v>
      </c>
      <c r="F25" s="68">
        <f>Wind!$B$33</f>
        <v>10.73065880855217</v>
      </c>
      <c r="G25" s="75">
        <f>Wind!$B$31</f>
        <v>567529.07690919</v>
      </c>
      <c r="J25" s="3"/>
      <c r="L25" s="3" t="s">
        <v>2</v>
      </c>
      <c r="M25" s="3"/>
    </row>
    <row r="26" spans="1:11" ht="12.75">
      <c r="A26" s="39" t="s">
        <v>12</v>
      </c>
      <c r="B26" s="47">
        <v>0.05</v>
      </c>
      <c r="C26" s="3"/>
      <c r="D26" s="121" t="s">
        <v>97</v>
      </c>
      <c r="E26" s="69">
        <f>NG_Technologies!$B$244</f>
        <v>-0.13784434704395687</v>
      </c>
      <c r="F26" s="68" t="e">
        <f>NG_Technologies!$B$245</f>
        <v>#REF!</v>
      </c>
      <c r="G26" s="75">
        <f>NG_Technologies!$B$243</f>
        <v>-429148.8268811158</v>
      </c>
      <c r="H26" s="3"/>
      <c r="J26" s="3">
        <v>6</v>
      </c>
      <c r="K26" s="3"/>
    </row>
    <row r="27" spans="1:13" ht="12.75">
      <c r="A27" s="44" t="s">
        <v>67</v>
      </c>
      <c r="B27" s="49">
        <f>0.117969</f>
        <v>0.117969</v>
      </c>
      <c r="C27" s="3"/>
      <c r="D27" s="74" t="s">
        <v>98</v>
      </c>
      <c r="E27" s="69">
        <f>Biogas_Technologies!$B$244</f>
        <v>-0.08975227548639642</v>
      </c>
      <c r="F27" s="68" t="e">
        <f>Biogas_Technologies!$B$245</f>
        <v>#REF!</v>
      </c>
      <c r="G27" s="75">
        <f>Biogas_Technologies!$B$243</f>
        <v>-466359.05522618035</v>
      </c>
      <c r="J27" s="3"/>
      <c r="L27" s="3"/>
      <c r="M27" s="3"/>
    </row>
    <row r="28" spans="1:13" ht="12.75">
      <c r="A28" s="39" t="s">
        <v>65</v>
      </c>
      <c r="B28" s="47">
        <v>0.02</v>
      </c>
      <c r="C28" s="3"/>
      <c r="D28" s="74" t="s">
        <v>99</v>
      </c>
      <c r="E28" s="69">
        <f>NG_Technologies!$B$193</f>
        <v>-0.08811214571119874</v>
      </c>
      <c r="F28" s="68" t="e">
        <f>NG_Technologies!$B$194</f>
        <v>#REF!</v>
      </c>
      <c r="G28" s="75">
        <f>NG_Technologies!$B$192</f>
        <v>-1010713.1828356623</v>
      </c>
      <c r="J28" s="3"/>
      <c r="L28" s="3">
        <v>8</v>
      </c>
      <c r="M28" s="3"/>
    </row>
    <row r="29" spans="1:14" ht="12.75">
      <c r="A29" s="39" t="s">
        <v>79</v>
      </c>
      <c r="B29" s="50">
        <f>3.94251*365</f>
        <v>1439.01615</v>
      </c>
      <c r="C29" s="3"/>
      <c r="D29" s="74" t="s">
        <v>100</v>
      </c>
      <c r="E29" s="69">
        <f>Biogas_Technologies!$B$193</f>
        <v>-0.06484815269033362</v>
      </c>
      <c r="F29" s="68" t="e">
        <f>Biogas_Technologies!$B$194</f>
        <v>#REF!</v>
      </c>
      <c r="G29" s="75">
        <f>Biogas_Technologies!$B$192</f>
        <v>-1182442.3494983462</v>
      </c>
      <c r="M29" s="3" t="s">
        <v>11</v>
      </c>
      <c r="N29" s="3"/>
    </row>
    <row r="30" spans="1:14" ht="12.75">
      <c r="A30" s="39" t="s">
        <v>82</v>
      </c>
      <c r="B30" s="50">
        <v>4300</v>
      </c>
      <c r="C30" s="3"/>
      <c r="D30" s="74" t="s">
        <v>101</v>
      </c>
      <c r="E30" s="69">
        <f>NG_Technologies!$B$142</f>
        <v>0.13474104060740433</v>
      </c>
      <c r="F30" s="68">
        <f>NG_Technologies!$B$143</f>
        <v>6.03561001885713</v>
      </c>
      <c r="G30" s="75">
        <f>NG_Technologies!$B$141</f>
        <v>727226.6163264993</v>
      </c>
      <c r="M30" s="3"/>
      <c r="N30" s="3"/>
    </row>
    <row r="31" spans="1:14" ht="12.75">
      <c r="A31" s="39" t="s">
        <v>80</v>
      </c>
      <c r="B31" s="50">
        <v>17000</v>
      </c>
      <c r="C31" s="3"/>
      <c r="D31" s="74" t="s">
        <v>102</v>
      </c>
      <c r="E31" s="69">
        <f>Biogas_Technologies!$B$142</f>
        <v>0.027785851117276827</v>
      </c>
      <c r="F31" s="68">
        <f>Biogas_Technologies!$B$143</f>
        <v>8.933461075600203</v>
      </c>
      <c r="G31" s="75">
        <f>Biogas_Technologies!$B$141</f>
        <v>-395358.9357470074</v>
      </c>
      <c r="M31" s="3"/>
      <c r="N31" s="3"/>
    </row>
    <row r="32" spans="1:14" ht="12.75">
      <c r="A32" s="39" t="s">
        <v>81</v>
      </c>
      <c r="B32" s="50">
        <v>7500</v>
      </c>
      <c r="C32" s="3"/>
      <c r="D32" s="74" t="s">
        <v>103</v>
      </c>
      <c r="E32" s="69">
        <f>NG_Technologies!$B$42</f>
        <v>-0.01548113609098356</v>
      </c>
      <c r="F32" s="68" t="e">
        <f>NG_Technologies!$B$43</f>
        <v>#REF!</v>
      </c>
      <c r="G32" s="75">
        <f>NG_Technologies!$B$41</f>
        <v>-136583.4466047563</v>
      </c>
      <c r="M32" s="3"/>
      <c r="N32" s="3"/>
    </row>
    <row r="33" spans="1:7" ht="12.75">
      <c r="A33" s="39" t="s">
        <v>20</v>
      </c>
      <c r="B33" s="52">
        <v>6.2</v>
      </c>
      <c r="C33" s="3"/>
      <c r="D33" s="74" t="s">
        <v>104</v>
      </c>
      <c r="E33" s="69">
        <f>Biogas_Technologies!$B$42</f>
        <v>-0.11905716264490351</v>
      </c>
      <c r="F33" s="68" t="e">
        <f>Biogas_Technologies!$B$43</f>
        <v>#REF!</v>
      </c>
      <c r="G33" s="75">
        <f>Biogas_Technologies!$B$41</f>
        <v>-549218.4232429864</v>
      </c>
    </row>
    <row r="34" spans="1:7" ht="12.75">
      <c r="A34" s="39" t="s">
        <v>19</v>
      </c>
      <c r="B34" s="51">
        <f>24*365</f>
        <v>8760</v>
      </c>
      <c r="C34" s="3"/>
      <c r="D34" s="74" t="s">
        <v>105</v>
      </c>
      <c r="E34" s="69">
        <f>NG_Technologies!$B$92</f>
        <v>0.15979982245829816</v>
      </c>
      <c r="F34" s="68">
        <f>NG_Technologies!$B$93</f>
        <v>5.624197540645206</v>
      </c>
      <c r="G34" s="75">
        <f>NG_Technologies!$B$91</f>
        <v>762414.6658853674</v>
      </c>
    </row>
    <row r="35" spans="1:13" ht="12.75">
      <c r="A35" s="39" t="s">
        <v>68</v>
      </c>
      <c r="B35" s="47">
        <v>0.01</v>
      </c>
      <c r="C35" s="3"/>
      <c r="D35" s="74" t="s">
        <v>106</v>
      </c>
      <c r="E35" s="69">
        <f>Biogas_Technologies!$B$92</f>
        <v>0.028089008272740967</v>
      </c>
      <c r="F35" s="68">
        <f>Biogas_Technologies!$B$93</f>
        <v>8.92278752496433</v>
      </c>
      <c r="G35" s="75">
        <f>Biogas_Technologies!$B$91</f>
        <v>1978344.680524968</v>
      </c>
      <c r="J35" s="3"/>
      <c r="L35" s="3">
        <v>7</v>
      </c>
      <c r="M35" s="3"/>
    </row>
    <row r="36" spans="1:7" ht="12.75">
      <c r="A36" s="39" t="s">
        <v>63</v>
      </c>
      <c r="B36" s="47">
        <v>0.8</v>
      </c>
      <c r="D36" s="104" t="s">
        <v>107</v>
      </c>
      <c r="E36" s="69">
        <f>'Waste Heat ORC'!$B$33</f>
        <v>0.2675770793741066</v>
      </c>
      <c r="F36" s="68">
        <f>'Waste Heat ORC'!$B$34</f>
        <v>4.343218554003297</v>
      </c>
      <c r="G36" s="75">
        <f>'Waste Heat ORC'!$B$32</f>
        <v>301017.4620361503</v>
      </c>
    </row>
    <row r="37" spans="1:7" ht="12.75" thickBot="1">
      <c r="A37" s="39" t="s">
        <v>25</v>
      </c>
      <c r="B37" s="48">
        <v>3412.141</v>
      </c>
      <c r="D37" s="122" t="s">
        <v>21</v>
      </c>
      <c r="E37" s="76">
        <f>'Pressure Reduction Turbines'!$B$32</f>
        <v>0.41351536825230606</v>
      </c>
      <c r="F37" s="77">
        <f>'Pressure Reduction Turbines'!$B$33</f>
        <v>3.3436940603558867</v>
      </c>
      <c r="G37" s="78">
        <f>'Pressure Reduction Turbines'!$B$31</f>
        <v>377947.4620361503</v>
      </c>
    </row>
    <row r="38" spans="1:4" ht="12">
      <c r="A38" s="39" t="s">
        <v>87</v>
      </c>
      <c r="B38" s="47">
        <v>1</v>
      </c>
      <c r="D38" s="125" t="s">
        <v>110</v>
      </c>
    </row>
    <row r="39" spans="1:2" ht="12">
      <c r="A39" s="39" t="s">
        <v>88</v>
      </c>
      <c r="B39" s="47">
        <v>0.5</v>
      </c>
    </row>
    <row r="40" spans="1:2" ht="12">
      <c r="A40" s="39" t="s">
        <v>89</v>
      </c>
      <c r="B40" s="47">
        <v>0.25</v>
      </c>
    </row>
    <row r="42" ht="12.75">
      <c r="F42" s="95"/>
    </row>
    <row r="43" spans="5:7" ht="12.75">
      <c r="E43" s="101"/>
      <c r="F43" s="101"/>
      <c r="G43" s="101"/>
    </row>
    <row r="58" ht="12">
      <c r="A58" s="104"/>
    </row>
    <row r="59" ht="12">
      <c r="A59" s="104"/>
    </row>
    <row r="60" ht="12">
      <c r="A60" s="104"/>
    </row>
    <row r="61" ht="12">
      <c r="A61" s="104"/>
    </row>
    <row r="68" spans="1:3" ht="12.75">
      <c r="A68" s="95"/>
      <c r="C68" s="95"/>
    </row>
    <row r="69" spans="2:3" ht="12">
      <c r="B69" s="96"/>
      <c r="C69" s="96"/>
    </row>
    <row r="70" spans="2:3" ht="12">
      <c r="B70" s="96"/>
      <c r="C70" s="96"/>
    </row>
    <row r="71" spans="2:3" ht="12">
      <c r="B71" s="96"/>
      <c r="C71" s="96"/>
    </row>
    <row r="72" spans="2:3" ht="12">
      <c r="B72" s="96"/>
      <c r="C72" s="96"/>
    </row>
  </sheetData>
  <sheetProtection/>
  <mergeCells count="4">
    <mergeCell ref="E22:G22"/>
    <mergeCell ref="C3:D3"/>
    <mergeCell ref="E3:G3"/>
    <mergeCell ref="H3:J3"/>
  </mergeCells>
  <dataValidations count="2">
    <dataValidation type="list" allowBlank="1" showInputMessage="1" showErrorMessage="1" sqref="B25">
      <formula1>$C$25:$C$25</formula1>
    </dataValidation>
    <dataValidation type="custom" allowBlank="1" showInputMessage="1" showErrorMessage="1" sqref="B22">
      <formula1>"""CHP - Microturbine"", ""Wind Turbine"""</formula1>
    </dataValidation>
  </dataValidations>
  <printOptions/>
  <pageMargins left="0.75" right="0.75" top="1" bottom="1" header="0.5" footer="0.5"/>
  <pageSetup horizontalDpi="600" verticalDpi="600" orientation="landscape" scale="48" r:id="rId3"/>
  <headerFooter alignWithMargins="0">
    <oddHeader xml:space="preserve">&amp;CAppendix B: SGIP Staff Proposal Financial Analysis Workbook, Page &amp;P </oddHeader>
  </headerFooter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0.28125" style="0" bestFit="1" customWidth="1"/>
    <col min="2" max="2" width="27.140625" style="0" customWidth="1"/>
    <col min="3" max="3" width="28.421875" style="0" bestFit="1" customWidth="1"/>
    <col min="4" max="5" width="12.28125" style="0" bestFit="1" customWidth="1"/>
    <col min="6" max="6" width="13.57421875" style="0" customWidth="1"/>
    <col min="7" max="11" width="12.28125" style="0" bestFit="1" customWidth="1"/>
  </cols>
  <sheetData>
    <row r="1" spans="1:13" ht="12.75">
      <c r="A1" s="38" t="s">
        <v>0</v>
      </c>
      <c r="B1" s="81" t="str">
        <f>'Summary Page'!A14</f>
        <v>Microturbine - CHP</v>
      </c>
      <c r="C1" s="38" t="s">
        <v>1</v>
      </c>
      <c r="D1" s="41">
        <f>(D2*B2)-B27-B28-B29</f>
        <v>572217.8956565678</v>
      </c>
      <c r="E1" s="1"/>
      <c r="G1" s="95"/>
      <c r="L1" s="3"/>
      <c r="M1" s="3"/>
    </row>
    <row r="2" spans="1:13" ht="12.75">
      <c r="A2" s="38" t="s">
        <v>3</v>
      </c>
      <c r="B2" s="42">
        <f>VLOOKUP(B1,'Summary Page'!$A$7:$K$19,2,0)</f>
        <v>165</v>
      </c>
      <c r="C2" s="38" t="s">
        <v>4</v>
      </c>
      <c r="D2" s="41">
        <f>VLOOKUP(B1,'Summary Page'!$A$7:$K$19,3,0)</f>
        <v>3293.441791857986</v>
      </c>
      <c r="E2" s="1"/>
      <c r="G2" s="95"/>
      <c r="H2" s="12"/>
      <c r="L2" s="3"/>
      <c r="M2" s="3"/>
    </row>
    <row r="3" spans="1:13" ht="12.75">
      <c r="A3" s="38" t="s">
        <v>90</v>
      </c>
      <c r="B3" s="41">
        <f>VLOOKUP(B1,'Summary Page'!$A$7:$K$19,11,0)</f>
        <v>0</v>
      </c>
      <c r="C3" s="82" t="s">
        <v>6</v>
      </c>
      <c r="D3" s="83">
        <f>VLOOKUP(B1,'Summary Page'!$A$7:$K$19,4,0)</f>
        <v>0.02</v>
      </c>
      <c r="E3" s="109"/>
      <c r="F3" s="111"/>
      <c r="G3" s="12"/>
      <c r="H3" s="95"/>
      <c r="L3" s="3"/>
      <c r="M3" s="3"/>
    </row>
    <row r="4" spans="1:13" ht="12.75">
      <c r="A4" s="38" t="s">
        <v>91</v>
      </c>
      <c r="B4" s="41">
        <f>(VLOOKUP(B1,'Summary Page'!$A$7:$K$19,11,0))*'Summary Page'!$B$39</f>
        <v>0</v>
      </c>
      <c r="C4" s="85" t="s">
        <v>8</v>
      </c>
      <c r="D4" s="86">
        <f>VLOOKUP(B1,'Summary Page'!$A$7:$K$19,5,0)</f>
        <v>0.1</v>
      </c>
      <c r="E4" s="110"/>
      <c r="F4" s="111"/>
      <c r="G4" s="12"/>
      <c r="H4" s="109"/>
      <c r="I4" s="111"/>
      <c r="L4" s="3"/>
      <c r="M4" s="3"/>
    </row>
    <row r="5" spans="1:13" ht="12.75">
      <c r="A5" s="38" t="s">
        <v>92</v>
      </c>
      <c r="B5" s="41">
        <f>(VLOOKUP(B1,'Summary Page'!$A$7:$K$19,11,0))*'Summary Page'!$B$40</f>
        <v>0</v>
      </c>
      <c r="C5" s="85" t="s">
        <v>10</v>
      </c>
      <c r="D5" s="86">
        <f>VLOOKUP(B1,'Summary Page'!$A$7:$K$19,8,0)</f>
        <v>0.252</v>
      </c>
      <c r="E5" s="110"/>
      <c r="F5" s="113"/>
      <c r="G5" s="111"/>
      <c r="H5" s="13"/>
      <c r="L5" s="3"/>
      <c r="M5" s="3"/>
    </row>
    <row r="6" spans="1:13" ht="12.75">
      <c r="A6" s="39" t="s">
        <v>7</v>
      </c>
      <c r="B6" s="84">
        <f>'Summary Page'!$B$23</f>
        <v>0.25</v>
      </c>
      <c r="C6" s="85" t="s">
        <v>13</v>
      </c>
      <c r="D6" s="86">
        <f>VLOOKUP(B1,'Summary Page'!$A$7:$K$19,9,0)</f>
        <v>0.62</v>
      </c>
      <c r="H6" s="13"/>
      <c r="L6" s="3"/>
      <c r="M6" s="3"/>
    </row>
    <row r="7" spans="1:13" ht="12.75">
      <c r="A7" s="39" t="s">
        <v>9</v>
      </c>
      <c r="B7" s="87">
        <f>'Summary Page'!$B$24</f>
        <v>5</v>
      </c>
      <c r="C7" s="40" t="s">
        <v>15</v>
      </c>
      <c r="D7" s="88">
        <f>'Summary Page'!$B$27</f>
        <v>0.117969</v>
      </c>
      <c r="E7" s="110"/>
      <c r="F7" s="111"/>
      <c r="G7" s="111"/>
      <c r="I7" s="111"/>
      <c r="J7" s="3"/>
      <c r="L7" s="3"/>
      <c r="M7" s="3"/>
    </row>
    <row r="8" spans="1:13" ht="12.75">
      <c r="A8" s="38" t="s">
        <v>12</v>
      </c>
      <c r="B8" s="43">
        <f>'Summary Page'!$B$26</f>
        <v>0.05</v>
      </c>
      <c r="C8" s="38" t="s">
        <v>17</v>
      </c>
      <c r="D8" s="41">
        <f>'Summary Page'!$B$29</f>
        <v>1439.01615</v>
      </c>
      <c r="E8" s="110"/>
      <c r="F8" s="111"/>
      <c r="G8" s="111"/>
      <c r="H8" s="111"/>
      <c r="I8" s="110"/>
      <c r="J8" s="111"/>
      <c r="L8" s="3"/>
      <c r="M8" s="3"/>
    </row>
    <row r="9" spans="1:13" ht="12.75">
      <c r="A9" s="38" t="s">
        <v>14</v>
      </c>
      <c r="B9" s="43">
        <f>'Summary Page'!$B$35</f>
        <v>0.01</v>
      </c>
      <c r="C9" s="38" t="s">
        <v>19</v>
      </c>
      <c r="D9" s="42">
        <f>'Summary Page'!$B$34</f>
        <v>8760</v>
      </c>
      <c r="F9" s="111"/>
      <c r="H9" s="111"/>
      <c r="I9" s="111"/>
      <c r="J9" s="3"/>
      <c r="L9" s="3"/>
      <c r="M9" s="3"/>
    </row>
    <row r="10" spans="1:13" ht="12.75">
      <c r="A10" s="39" t="s">
        <v>16</v>
      </c>
      <c r="B10" s="43">
        <f>'Summary Page'!$B$28</f>
        <v>0.02</v>
      </c>
      <c r="C10" s="38" t="s">
        <v>20</v>
      </c>
      <c r="D10" s="90">
        <f>'Summary Page'!$B$33</f>
        <v>6.2</v>
      </c>
      <c r="E10" s="112"/>
      <c r="F10" s="12"/>
      <c r="G10" s="111"/>
      <c r="J10" s="3"/>
      <c r="L10" s="3"/>
      <c r="M10" s="3"/>
    </row>
    <row r="11" spans="1:13" ht="12.75">
      <c r="A11" s="39" t="s">
        <v>18</v>
      </c>
      <c r="B11" s="43">
        <f>VLOOKUP(B1,'Summary Page'!$A$7:$K$19,10,0)</f>
        <v>0.8</v>
      </c>
      <c r="C11" s="38" t="s">
        <v>77</v>
      </c>
      <c r="D11" s="84">
        <f>'Summary Page'!$B$36</f>
        <v>0.8</v>
      </c>
      <c r="I11" s="13"/>
      <c r="J11" s="3"/>
      <c r="L11" s="3"/>
      <c r="M11" s="3"/>
    </row>
    <row r="12" spans="1:13" ht="12.75">
      <c r="A12" s="39" t="s">
        <v>22</v>
      </c>
      <c r="B12" s="89" t="str">
        <f>'Summary Page'!$B$25</f>
        <v>Yes</v>
      </c>
      <c r="C12" s="39" t="s">
        <v>24</v>
      </c>
      <c r="D12" s="91">
        <f>D13/D5</f>
        <v>13540.242063492064</v>
      </c>
      <c r="L12" s="3"/>
      <c r="M12" s="3"/>
    </row>
    <row r="13" spans="3:13" ht="12.75">
      <c r="C13" s="39" t="s">
        <v>25</v>
      </c>
      <c r="D13" s="91">
        <f>'Summary Page'!$B$37</f>
        <v>3412.141</v>
      </c>
      <c r="E13" s="111"/>
      <c r="L13" s="3"/>
      <c r="M13" s="3"/>
    </row>
    <row r="14" spans="5:13" ht="12.75">
      <c r="E14" s="9"/>
      <c r="F14" s="9"/>
      <c r="G14" s="9"/>
      <c r="L14" s="3"/>
      <c r="M14" s="3"/>
    </row>
    <row r="15" spans="1:13" ht="12.75">
      <c r="A15" s="10" t="s">
        <v>26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3"/>
      <c r="M15" s="3"/>
    </row>
    <row r="16" spans="12:13" ht="12.75">
      <c r="L16" s="3"/>
      <c r="M16" s="3"/>
    </row>
    <row r="17" spans="1:11" ht="12.75">
      <c r="A17" s="13" t="s">
        <v>27</v>
      </c>
      <c r="B17" s="11">
        <f>($B$2*$B$11*$D$9)</f>
        <v>1156320</v>
      </c>
      <c r="C17" s="11">
        <f aca="true" t="shared" si="0" ref="C17:K17">B17*(1-$B$9)</f>
        <v>1144756.8</v>
      </c>
      <c r="D17" s="11">
        <f t="shared" si="0"/>
        <v>1133309.232</v>
      </c>
      <c r="E17" s="11">
        <f t="shared" si="0"/>
        <v>1121976.13968</v>
      </c>
      <c r="F17" s="11">
        <f t="shared" si="0"/>
        <v>1110756.3782832</v>
      </c>
      <c r="G17" s="11">
        <f t="shared" si="0"/>
        <v>1099648.814500368</v>
      </c>
      <c r="H17" s="11">
        <f t="shared" si="0"/>
        <v>1088652.3263553642</v>
      </c>
      <c r="I17" s="11">
        <f t="shared" si="0"/>
        <v>1077765.8030918106</v>
      </c>
      <c r="J17" s="11">
        <f t="shared" si="0"/>
        <v>1066988.1450608924</v>
      </c>
      <c r="K17" s="11">
        <f t="shared" si="0"/>
        <v>1056318.2636102836</v>
      </c>
    </row>
    <row r="18" spans="1:11" ht="12.75">
      <c r="A18" s="13" t="s">
        <v>28</v>
      </c>
      <c r="B18" s="12">
        <f aca="true" t="shared" si="1" ref="B18:K18">B17*B49</f>
        <v>136409.91408000002</v>
      </c>
      <c r="C18" s="12">
        <f t="shared" si="1"/>
        <v>137746.73123798403</v>
      </c>
      <c r="D18" s="12">
        <f t="shared" si="1"/>
        <v>139096.64920411626</v>
      </c>
      <c r="E18" s="12">
        <f t="shared" si="1"/>
        <v>140459.7963663166</v>
      </c>
      <c r="F18" s="12">
        <f t="shared" si="1"/>
        <v>141836.3023707065</v>
      </c>
      <c r="G18" s="12">
        <f t="shared" si="1"/>
        <v>143226.2981339394</v>
      </c>
      <c r="H18" s="12">
        <f t="shared" si="1"/>
        <v>144629.91585565198</v>
      </c>
      <c r="I18" s="12">
        <f t="shared" si="1"/>
        <v>146047.28903103736</v>
      </c>
      <c r="J18" s="12">
        <f t="shared" si="1"/>
        <v>147478.55246354153</v>
      </c>
      <c r="K18" s="12">
        <f t="shared" si="1"/>
        <v>148923.84227768425</v>
      </c>
    </row>
    <row r="19" spans="1:11" ht="12.75">
      <c r="A19" s="13" t="s">
        <v>29</v>
      </c>
      <c r="B19" s="11">
        <f>($D$12*B17)/1000000</f>
        <v>15656.852702857143</v>
      </c>
      <c r="C19" s="11">
        <f>B19</f>
        <v>15656.852702857143</v>
      </c>
      <c r="D19" s="11">
        <f aca="true" t="shared" si="2" ref="D19:K19">C19</f>
        <v>15656.852702857143</v>
      </c>
      <c r="E19" s="11">
        <f t="shared" si="2"/>
        <v>15656.852702857143</v>
      </c>
      <c r="F19" s="11">
        <f t="shared" si="2"/>
        <v>15656.852702857143</v>
      </c>
      <c r="G19" s="11">
        <f t="shared" si="2"/>
        <v>15656.852702857143</v>
      </c>
      <c r="H19" s="11">
        <f t="shared" si="2"/>
        <v>15656.852702857143</v>
      </c>
      <c r="I19" s="11">
        <f t="shared" si="2"/>
        <v>15656.852702857143</v>
      </c>
      <c r="J19" s="11">
        <f t="shared" si="2"/>
        <v>15656.852702857143</v>
      </c>
      <c r="K19" s="11">
        <f t="shared" si="2"/>
        <v>15656.852702857143</v>
      </c>
    </row>
    <row r="20" spans="1:11" ht="12.75">
      <c r="A20" s="13" t="s">
        <v>30</v>
      </c>
      <c r="B20" s="11">
        <f>(B19*$D$6)-(B17/1000)*$D$13/1000</f>
        <v>5761.721794651428</v>
      </c>
      <c r="C20" s="11">
        <f aca="true" t="shared" si="3" ref="C20:K20">(B20)*(1-$B$9)</f>
        <v>5704.104576704914</v>
      </c>
      <c r="D20" s="11">
        <f t="shared" si="3"/>
        <v>5647.063530937864</v>
      </c>
      <c r="E20" s="11">
        <f t="shared" si="3"/>
        <v>5590.592895628485</v>
      </c>
      <c r="F20" s="11">
        <f t="shared" si="3"/>
        <v>5534.6869666722005</v>
      </c>
      <c r="G20" s="11">
        <f t="shared" si="3"/>
        <v>5479.340097005478</v>
      </c>
      <c r="H20" s="11">
        <f t="shared" si="3"/>
        <v>5424.546696035423</v>
      </c>
      <c r="I20" s="11">
        <f t="shared" si="3"/>
        <v>5370.301229075069</v>
      </c>
      <c r="J20" s="11">
        <f t="shared" si="3"/>
        <v>5316.5982167843185</v>
      </c>
      <c r="K20" s="11">
        <f t="shared" si="3"/>
        <v>5263.432234616475</v>
      </c>
    </row>
    <row r="21" spans="1:11" ht="12.75">
      <c r="A21" t="s">
        <v>31</v>
      </c>
      <c r="B21" s="14">
        <f>B20/(B19-(B17/1000)*$D$13/1000)</f>
        <v>0.4919786096256685</v>
      </c>
      <c r="C21" s="14">
        <f aca="true" t="shared" si="4" ref="C21:K21">B21*(1-$B$9)</f>
        <v>0.48705882352941177</v>
      </c>
      <c r="D21" s="14">
        <f t="shared" si="4"/>
        <v>0.48218823529411764</v>
      </c>
      <c r="E21" s="14">
        <f t="shared" si="4"/>
        <v>0.47736635294117646</v>
      </c>
      <c r="F21" s="14">
        <f t="shared" si="4"/>
        <v>0.4725926894117647</v>
      </c>
      <c r="G21" s="14">
        <f t="shared" si="4"/>
        <v>0.46786676251764703</v>
      </c>
      <c r="H21" s="14">
        <f t="shared" si="4"/>
        <v>0.46318809489247054</v>
      </c>
      <c r="I21" s="14">
        <f t="shared" si="4"/>
        <v>0.45855621394354584</v>
      </c>
      <c r="J21" s="14">
        <f t="shared" si="4"/>
        <v>0.4539706518041104</v>
      </c>
      <c r="K21" s="14">
        <f t="shared" si="4"/>
        <v>0.4494309452860693</v>
      </c>
    </row>
    <row r="22" spans="1:11" ht="12.75">
      <c r="A22" s="13" t="s">
        <v>32</v>
      </c>
      <c r="B22" s="11">
        <f>B20/$D$11</f>
        <v>7202.152243314285</v>
      </c>
      <c r="C22" s="11">
        <f aca="true" t="shared" si="5" ref="C22:K22">C20/$D$11</f>
        <v>7130.130720881141</v>
      </c>
      <c r="D22" s="11">
        <f t="shared" si="5"/>
        <v>7058.82941367233</v>
      </c>
      <c r="E22" s="11">
        <f t="shared" si="5"/>
        <v>6988.241119535606</v>
      </c>
      <c r="F22" s="11">
        <f t="shared" si="5"/>
        <v>6918.35870834025</v>
      </c>
      <c r="G22" s="11">
        <f t="shared" si="5"/>
        <v>6849.175121256847</v>
      </c>
      <c r="H22" s="11">
        <f t="shared" si="5"/>
        <v>6780.6833700442785</v>
      </c>
      <c r="I22" s="11">
        <f t="shared" si="5"/>
        <v>6712.876536343836</v>
      </c>
      <c r="J22" s="11">
        <f t="shared" si="5"/>
        <v>6645.747770980398</v>
      </c>
      <c r="K22" s="11">
        <f t="shared" si="5"/>
        <v>6579.290293270594</v>
      </c>
    </row>
    <row r="23" spans="1:11" ht="12.75">
      <c r="A23" s="13" t="s">
        <v>33</v>
      </c>
      <c r="B23" s="12">
        <f aca="true" t="shared" si="6" ref="B23:K23">B22*B48</f>
        <v>44653.34390854857</v>
      </c>
      <c r="C23" s="12">
        <f t="shared" si="6"/>
        <v>50196.12027500323</v>
      </c>
      <c r="D23" s="12">
        <f t="shared" si="6"/>
        <v>51105.92495498767</v>
      </c>
      <c r="E23" s="12">
        <f t="shared" si="6"/>
        <v>51433.45463978207</v>
      </c>
      <c r="F23" s="12">
        <f t="shared" si="6"/>
        <v>51887.69031255187</v>
      </c>
      <c r="G23" s="12">
        <f t="shared" si="6"/>
        <v>52464.68142882745</v>
      </c>
      <c r="H23" s="12">
        <f t="shared" si="6"/>
        <v>52957.13712004581</v>
      </c>
      <c r="I23" s="12">
        <f t="shared" si="6"/>
        <v>53501.625994660375</v>
      </c>
      <c r="J23" s="12">
        <f t="shared" si="6"/>
        <v>54029.92937807064</v>
      </c>
      <c r="K23" s="12">
        <f t="shared" si="6"/>
        <v>54542.31653121322</v>
      </c>
    </row>
    <row r="24" spans="1:11" ht="12.75">
      <c r="A24" s="13" t="s">
        <v>84</v>
      </c>
      <c r="B24" s="15">
        <f aca="true" t="shared" si="7" ref="B24:K24">-B19*B48</f>
        <v>-97072.48675771429</v>
      </c>
      <c r="C24" s="15">
        <f t="shared" si="7"/>
        <v>-110224.24302811429</v>
      </c>
      <c r="D24" s="15">
        <f t="shared" si="7"/>
        <v>-113355.61356868572</v>
      </c>
      <c r="E24" s="15">
        <f t="shared" si="7"/>
        <v>-115234.43589302857</v>
      </c>
      <c r="F24" s="15">
        <f t="shared" si="7"/>
        <v>-117426.39527142857</v>
      </c>
      <c r="G24" s="15">
        <f t="shared" si="7"/>
        <v>-119931.49170388571</v>
      </c>
      <c r="H24" s="15">
        <f t="shared" si="7"/>
        <v>-122280.01960931427</v>
      </c>
      <c r="I24" s="15">
        <f t="shared" si="7"/>
        <v>-124785.11604177143</v>
      </c>
      <c r="J24" s="15">
        <f t="shared" si="7"/>
        <v>-127290.21247422858</v>
      </c>
      <c r="K24" s="15">
        <f t="shared" si="7"/>
        <v>-129795.30890668569</v>
      </c>
    </row>
    <row r="25" spans="1:11" ht="12.75">
      <c r="A25" s="13" t="s">
        <v>35</v>
      </c>
      <c r="B25" s="15">
        <f>B17*(-$D$3)</f>
        <v>-23126.4</v>
      </c>
      <c r="C25" s="15">
        <f aca="true" t="shared" si="8" ref="C25:K25">C17*(-$D$3)</f>
        <v>-22895.136000000002</v>
      </c>
      <c r="D25" s="15">
        <f t="shared" si="8"/>
        <v>-22666.184640000003</v>
      </c>
      <c r="E25" s="15">
        <f t="shared" si="8"/>
        <v>-22439.5227936</v>
      </c>
      <c r="F25" s="15">
        <f t="shared" si="8"/>
        <v>-22215.127565664003</v>
      </c>
      <c r="G25" s="15">
        <f t="shared" si="8"/>
        <v>-21992.97629000736</v>
      </c>
      <c r="H25" s="15">
        <f t="shared" si="8"/>
        <v>-21773.046527107283</v>
      </c>
      <c r="I25" s="15">
        <f t="shared" si="8"/>
        <v>-21555.316061836213</v>
      </c>
      <c r="J25" s="15">
        <f t="shared" si="8"/>
        <v>-21339.762901217848</v>
      </c>
      <c r="K25" s="15">
        <f t="shared" si="8"/>
        <v>-21126.365272205672</v>
      </c>
    </row>
    <row r="26" spans="1:13" ht="12.75">
      <c r="A26" s="13" t="s">
        <v>78</v>
      </c>
      <c r="B26" s="15">
        <f>-$D$8</f>
        <v>-1439.01615</v>
      </c>
      <c r="C26" s="15">
        <f aca="true" t="shared" si="9" ref="C26:K26">-$D$8</f>
        <v>-1439.01615</v>
      </c>
      <c r="D26" s="15">
        <f t="shared" si="9"/>
        <v>-1439.01615</v>
      </c>
      <c r="E26" s="15">
        <f t="shared" si="9"/>
        <v>-1439.01615</v>
      </c>
      <c r="F26" s="15">
        <f t="shared" si="9"/>
        <v>-1439.01615</v>
      </c>
      <c r="G26" s="15">
        <f t="shared" si="9"/>
        <v>-1439.01615</v>
      </c>
      <c r="H26" s="15">
        <f t="shared" si="9"/>
        <v>-1439.01615</v>
      </c>
      <c r="I26" s="15">
        <f t="shared" si="9"/>
        <v>-1439.01615</v>
      </c>
      <c r="J26" s="15">
        <f t="shared" si="9"/>
        <v>-1439.01615</v>
      </c>
      <c r="K26" s="15">
        <f t="shared" si="9"/>
        <v>-1439.01615</v>
      </c>
      <c r="M26" s="111"/>
    </row>
    <row r="27" spans="1:11" ht="12.75">
      <c r="A27" s="13" t="s">
        <v>83</v>
      </c>
      <c r="B27" s="15">
        <f>-'Summary Page'!$B$30</f>
        <v>-4300</v>
      </c>
      <c r="C27" s="113"/>
      <c r="D27" s="113"/>
      <c r="E27" s="113"/>
      <c r="F27" s="113"/>
      <c r="G27" s="113"/>
      <c r="H27" s="113"/>
      <c r="I27" s="113"/>
      <c r="J27" s="113"/>
      <c r="K27" s="15"/>
    </row>
    <row r="28" spans="1:11" ht="12.75">
      <c r="A28" s="13" t="s">
        <v>86</v>
      </c>
      <c r="B28" s="15">
        <f>-'Summary Page'!$B$31</f>
        <v>-17000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3" t="s">
        <v>85</v>
      </c>
      <c r="B29" s="15">
        <f>-'Summary Page'!$B$32</f>
        <v>-7500</v>
      </c>
      <c r="C29" s="15"/>
      <c r="D29" s="15"/>
      <c r="E29" s="15"/>
      <c r="F29" s="15"/>
      <c r="G29" s="113"/>
      <c r="H29" s="113"/>
      <c r="I29" s="113"/>
      <c r="J29" s="113"/>
      <c r="K29" s="113"/>
    </row>
    <row r="30" spans="1:11" ht="12" hidden="1">
      <c r="A30" s="13" t="s">
        <v>93</v>
      </c>
      <c r="B30" s="113">
        <f>IF(B2&gt;=1000,1000*B3*B6,B2*B3*B6)</f>
        <v>0</v>
      </c>
      <c r="C30" s="113">
        <f>IF(($B30/$B6)-B30&gt;=0.1,((($B30/$B6)-$B30)/$B$7),0)</f>
        <v>0</v>
      </c>
      <c r="D30" s="113">
        <f>IF(($B30/$B6)-B30-C30&gt;=0.1,((($B30/$B6)-$B30)/$B$7),0)</f>
        <v>0</v>
      </c>
      <c r="E30" s="113">
        <f>IF(($B30/$B6)-B30-C30-D30&gt;=0.1,((($B30/$B6)-$B30)/$B$7),0)</f>
        <v>0</v>
      </c>
      <c r="F30" s="113">
        <f>IF(($B30/$B6)-B30-C30-D30-E30&gt;=0.1,((($B30/$B6)-$B30)/$B$7),0)</f>
        <v>0</v>
      </c>
      <c r="G30" s="113">
        <f>IF(($B30/$B6)-B30-C30-D30-E30-F30&gt;=0.1,((($B30/$B6)-$B30)/$B$7),0)</f>
        <v>0</v>
      </c>
      <c r="H30" s="113">
        <f>IF(($B30/$B6)-B30-C30-D30-E30-F30-G30&gt;=0.1,((($B30/$B6)-$B30)/$B$7),0)</f>
        <v>0</v>
      </c>
      <c r="I30" s="113">
        <f>IF(($B30/$B6)-B30-C30-D30-E30-F30-G30-H30&gt;=0.1,((($B30/$B6)-$B30)/$B$7),0)</f>
        <v>0</v>
      </c>
      <c r="J30" s="113">
        <f>IF(($B30/$B6)-B30-C30-D30-E30-F30-G30-H30-I30&gt;=0.1,((($B30/$B6)-$B30)/$B$7),0)</f>
        <v>0</v>
      </c>
      <c r="K30" s="113">
        <f>IF(($B30/$B6)-B30-C30-D30-E30-F30-G30-H30-I30-J30&gt;=0.1,((($B30/$B6)-$B30)/$B$7),0)</f>
        <v>0</v>
      </c>
    </row>
    <row r="31" spans="1:11" ht="12" hidden="1">
      <c r="A31" s="13" t="s">
        <v>94</v>
      </c>
      <c r="B31" s="113">
        <f>IF(AND(B2&gt;=0,B2&lt;=2000),(B2-1000)*B4*B6,1000*B4*B6)</f>
        <v>0</v>
      </c>
      <c r="C31" s="113">
        <f>IF(($B31/$B6)-B31&gt;=0.1,((($B31/$B6)-$B31)/$B$7),0)</f>
        <v>0</v>
      </c>
      <c r="D31" s="113">
        <f>IF(($B31/$B6)-B31-C31&gt;=0.1,((($B31/$B6)-$B31)/$B$7),0)</f>
        <v>0</v>
      </c>
      <c r="E31" s="113">
        <f>IF(($B31/$B6)-B31-C31-D31&gt;=0.1,((($B31/$B6)-$B31)/$B$7),0)</f>
        <v>0</v>
      </c>
      <c r="F31" s="113">
        <f>IF(($B31/$B6)-B31-C31-D31-E31&gt;=0.1,((($B31/$B6)-$B31)/$B$7),0)</f>
        <v>0</v>
      </c>
      <c r="G31" s="113">
        <f>IF(($B31/$B6)-B31-C31-D31-E31-F31&gt;=0.1,((($B31/$B6)-$B31)/$B$7),0)</f>
        <v>0</v>
      </c>
      <c r="H31" s="113">
        <f>IF(($B31/$B6)-B31-C31-D31-E31-F31-G31&gt;=0.1,((($B31/$B6)-$B31)/$B$7),0)</f>
        <v>0</v>
      </c>
      <c r="I31" s="113">
        <f>IF(($B31/$B6)-B31-C31-D31-E31-F31-G31-H31&gt;=0.1,((($B31/$B6)-$B31)/$B$7),0)</f>
        <v>0</v>
      </c>
      <c r="J31" s="113">
        <f>IF(($B31/$B6)-B31-C31-D31-E31-F31-G31-H31-I31&gt;=0.1,((($B31/$B6)-$B31)/$B$7),0)</f>
        <v>0</v>
      </c>
      <c r="K31" s="113">
        <f>IF(($B31/$B6)-B31-C31-D31-E31-F31-G31-H31-I31-J31&gt;=0.1,((($B31/$B6)-$B31)/$B$7),0)</f>
        <v>0</v>
      </c>
    </row>
    <row r="32" spans="1:11" ht="12" hidden="1">
      <c r="A32" s="13" t="s">
        <v>95</v>
      </c>
      <c r="B32" s="113">
        <f>IF(AND(B2&gt;=0,B2&lt;=3000),(B2-2000)*B5*B6,1000*B5*B6)</f>
        <v>0</v>
      </c>
      <c r="C32" s="113">
        <f>IF(($B32/$B6)-B32&gt;=0.1,((($B32/$B6)-$B32)/$B$7),0)</f>
        <v>0</v>
      </c>
      <c r="D32" s="113">
        <f>IF(($B32/$B6)-B32-C32&gt;=0.1,((($B32/$B6)-$B32)/$B$7),0)</f>
        <v>0</v>
      </c>
      <c r="E32" s="113">
        <f>IF(($B32/$B6)-B32-C32-D32&gt;=0.1,((($B32/$B6)-$B32)/$B$7),0)</f>
        <v>0</v>
      </c>
      <c r="F32" s="113">
        <f>IF(($B32/$B6)-B32-C32-D32-E32&gt;=0.1,((($B32/$B6)-$B32)/$B$7),0)</f>
        <v>0</v>
      </c>
      <c r="G32" s="113">
        <f>IF(($B32/$B6)-B32-C32-D32-E32-F32&gt;=0.1,((($B32/$B6)-$B32)/$B$7),0)</f>
        <v>0</v>
      </c>
      <c r="H32" s="113">
        <f>IF(($B32/$B6)-B32-C32-D32-E32-F32-G32&gt;=0.1,((($B32/$B6)-$B32)/$B$7),0)</f>
        <v>0</v>
      </c>
      <c r="I32" s="113">
        <f>IF(($B32/$B6)-B32-C32-D32-E32-F32-G32-H32&gt;=0.1,((($B32/$B6)-$B32)/$B$7),0)</f>
        <v>0</v>
      </c>
      <c r="J32" s="113">
        <f>IF(($B32/$B6)-B32-C32-D32-E32-F32-G32-H32-I32&gt;=0.1,((($B32/$B6)-$B32)/$B$7),0)</f>
        <v>0</v>
      </c>
      <c r="K32" s="113">
        <f>IF(($B32/$B6)-B32-C32-D32-E32-F32-G32-H32-I32-J32&gt;=0.1,((($B32/$B6)-$B32)/$B$7),0)</f>
        <v>0</v>
      </c>
    </row>
    <row r="33" spans="1:11" ht="12.75">
      <c r="A33" s="13" t="s">
        <v>96</v>
      </c>
      <c r="B33" s="12">
        <f aca="true" t="shared" si="10" ref="B33:K33">IF(B31&lt;=0,0,B31)+IF(B32&lt;=0,0,B32)+B30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 t="shared" si="10"/>
        <v>0</v>
      </c>
    </row>
    <row r="34" spans="1:11" ht="12.75">
      <c r="A34" t="s">
        <v>36</v>
      </c>
      <c r="B34" s="12">
        <f aca="true" t="shared" si="11" ref="B34:K34">IF($B$12="yes",(B33*0.2),0)</f>
        <v>0</v>
      </c>
      <c r="C34" s="12">
        <f t="shared" si="11"/>
        <v>0</v>
      </c>
      <c r="D34" s="12">
        <f t="shared" si="11"/>
        <v>0</v>
      </c>
      <c r="E34" s="12">
        <f t="shared" si="11"/>
        <v>0</v>
      </c>
      <c r="F34" s="12">
        <f t="shared" si="11"/>
        <v>0</v>
      </c>
      <c r="G34" s="12">
        <f t="shared" si="11"/>
        <v>0</v>
      </c>
      <c r="H34" s="12">
        <f t="shared" si="11"/>
        <v>0</v>
      </c>
      <c r="I34" s="12">
        <f t="shared" si="11"/>
        <v>0</v>
      </c>
      <c r="J34" s="12">
        <f t="shared" si="11"/>
        <v>0</v>
      </c>
      <c r="K34" s="12">
        <f t="shared" si="11"/>
        <v>0</v>
      </c>
    </row>
    <row r="35" spans="1:4" ht="12.75" hidden="1">
      <c r="A35" t="s">
        <v>54</v>
      </c>
      <c r="B35" s="12">
        <f>((D1)-SUM(B33:K34))*D4</f>
        <v>57221.78956565678</v>
      </c>
      <c r="C35" s="12"/>
      <c r="D35" s="12"/>
    </row>
    <row r="36" spans="1:4" ht="12.75" hidden="1">
      <c r="A36" t="s">
        <v>55</v>
      </c>
      <c r="B36" s="12">
        <f>IF(B1='Summary Page'!A14,'Summary Page'!F14*NG_Technologies!B2,((D1)-SUM(B33:K34))*D4)</f>
        <v>33000</v>
      </c>
      <c r="C36" s="12"/>
      <c r="D36" s="12"/>
    </row>
    <row r="37" spans="1:4" ht="12.75">
      <c r="A37" t="s">
        <v>53</v>
      </c>
      <c r="B37" s="12">
        <f>MIN(B35:B36)</f>
        <v>33000</v>
      </c>
      <c r="C37" s="12"/>
      <c r="D37" s="12"/>
    </row>
    <row r="38" spans="1:13" ht="12.75">
      <c r="A38" t="s">
        <v>38</v>
      </c>
      <c r="B38" s="16">
        <f>-$D$1+B18+B23+B24+B25+B26+B27+B28+B29+B33+B34+B37</f>
        <v>-508592.5405757334</v>
      </c>
      <c r="C38" s="16">
        <f aca="true" t="shared" si="12" ref="C38:K38">C18+C23+C24+C25+C26+C33+C34+C37</f>
        <v>53384.456334872964</v>
      </c>
      <c r="D38" s="16">
        <f t="shared" si="12"/>
        <v>52741.759800418185</v>
      </c>
      <c r="E38" s="16">
        <f t="shared" si="12"/>
        <v>52780.27616947007</v>
      </c>
      <c r="F38" s="16">
        <f t="shared" si="12"/>
        <v>52643.453696165794</v>
      </c>
      <c r="G38" s="16">
        <f t="shared" si="12"/>
        <v>52327.49541887378</v>
      </c>
      <c r="H38" s="16">
        <f t="shared" si="12"/>
        <v>52094.97068927623</v>
      </c>
      <c r="I38" s="16">
        <f t="shared" si="12"/>
        <v>51769.46677209008</v>
      </c>
      <c r="J38" s="16">
        <f t="shared" si="12"/>
        <v>51439.490316165735</v>
      </c>
      <c r="K38" s="16">
        <f t="shared" si="12"/>
        <v>51105.468480006115</v>
      </c>
      <c r="M38" s="16"/>
    </row>
    <row r="39" spans="1:11" ht="12.75">
      <c r="A39" t="s">
        <v>39</v>
      </c>
      <c r="B39" s="16">
        <f>B38</f>
        <v>-508592.5405757334</v>
      </c>
      <c r="C39" s="16">
        <f>B39+C38</f>
        <v>-455208.0842408604</v>
      </c>
      <c r="D39" s="16">
        <f aca="true" t="shared" si="13" ref="D39:K39">C39+D38</f>
        <v>-402466.32444044226</v>
      </c>
      <c r="E39" s="16">
        <f t="shared" si="13"/>
        <v>-349686.0482709722</v>
      </c>
      <c r="F39" s="16">
        <f t="shared" si="13"/>
        <v>-297042.5945748064</v>
      </c>
      <c r="G39" s="16">
        <f t="shared" si="13"/>
        <v>-244715.0991559326</v>
      </c>
      <c r="H39" s="16">
        <f t="shared" si="13"/>
        <v>-192620.12846665637</v>
      </c>
      <c r="I39" s="16">
        <f t="shared" si="13"/>
        <v>-140850.66169456628</v>
      </c>
      <c r="J39" s="16">
        <f t="shared" si="13"/>
        <v>-89411.17137840056</v>
      </c>
      <c r="K39" s="16">
        <f t="shared" si="13"/>
        <v>-38305.70289839444</v>
      </c>
    </row>
    <row r="40" spans="2:11" ht="12.75">
      <c r="B40" s="17"/>
      <c r="C40" s="17"/>
      <c r="D40" s="18"/>
      <c r="E40" s="18"/>
      <c r="F40" s="18"/>
      <c r="G40" s="19"/>
      <c r="H40" s="19"/>
      <c r="I40" s="17"/>
      <c r="J40" s="17"/>
      <c r="K40" s="17"/>
    </row>
    <row r="41" spans="1:11" ht="12.75">
      <c r="A41" s="20" t="s">
        <v>40</v>
      </c>
      <c r="B41" s="21">
        <f>(NPV($B$8,C38:K38))+$B$38</f>
        <v>-136583.4466047563</v>
      </c>
      <c r="C41" s="18"/>
      <c r="E41" s="18"/>
      <c r="F41" s="18"/>
      <c r="G41" s="19"/>
      <c r="H41" s="19"/>
      <c r="I41" s="17"/>
      <c r="J41" s="17"/>
      <c r="K41" s="17"/>
    </row>
    <row r="42" spans="1:11" ht="12.75">
      <c r="A42" s="22" t="s">
        <v>41</v>
      </c>
      <c r="B42" s="23">
        <f>IRR(B38:K38)</f>
        <v>-0.01548113609098356</v>
      </c>
      <c r="C42" s="18"/>
      <c r="D42" s="18"/>
      <c r="E42" s="18"/>
      <c r="F42" s="24"/>
      <c r="G42" s="19"/>
      <c r="H42" s="19"/>
      <c r="I42" s="17"/>
      <c r="J42" s="17"/>
      <c r="K42" s="17"/>
    </row>
    <row r="43" spans="1:11" ht="12.75">
      <c r="A43" s="25" t="s">
        <v>42</v>
      </c>
      <c r="B43" s="26" t="e">
        <f>COUNTIF(B39:K39,"&lt;0")+1-INDEX(B39:K39,COUNTIF(B39:K39,"&lt;0")+1)/INDEX(B38:K38,COUNTIF(B39:K39,"&lt;0")+1)</f>
        <v>#REF!</v>
      </c>
      <c r="C43" s="18"/>
      <c r="E43" s="18"/>
      <c r="F43" s="18"/>
      <c r="G43" s="19"/>
      <c r="H43" s="19"/>
      <c r="I43" s="17"/>
      <c r="J43" s="17"/>
      <c r="K43" s="17"/>
    </row>
    <row r="44" spans="1:11" ht="12.75">
      <c r="A44" s="27"/>
      <c r="B44" s="28"/>
      <c r="C44" s="18"/>
      <c r="E44" s="18"/>
      <c r="F44" s="18"/>
      <c r="G44" s="19"/>
      <c r="H44" s="19"/>
      <c r="I44" s="17"/>
      <c r="J44" s="17"/>
      <c r="K44" s="17"/>
    </row>
    <row r="45" ht="12.75">
      <c r="A45" s="7"/>
    </row>
    <row r="46" spans="1:7" ht="12.75">
      <c r="A46" s="29" t="s">
        <v>43</v>
      </c>
      <c r="F46" s="11"/>
      <c r="G46" s="11"/>
    </row>
    <row r="47" spans="1:12" ht="12.75">
      <c r="A47" s="20" t="s">
        <v>26</v>
      </c>
      <c r="B47" s="30">
        <v>2010</v>
      </c>
      <c r="C47" s="30">
        <v>2011</v>
      </c>
      <c r="D47" s="30">
        <v>2012</v>
      </c>
      <c r="E47" s="30">
        <v>2013</v>
      </c>
      <c r="F47" s="30">
        <v>2014</v>
      </c>
      <c r="G47" s="30">
        <v>2015</v>
      </c>
      <c r="H47" s="30">
        <v>2016</v>
      </c>
      <c r="I47" s="30">
        <v>2017</v>
      </c>
      <c r="J47" s="30">
        <v>2018</v>
      </c>
      <c r="K47" s="30">
        <v>2019</v>
      </c>
      <c r="L47" s="31">
        <v>2020</v>
      </c>
    </row>
    <row r="48" spans="1:12" ht="12.75">
      <c r="A48" s="2" t="s">
        <v>44</v>
      </c>
      <c r="B48" s="32">
        <v>6.2</v>
      </c>
      <c r="C48" s="32">
        <v>7.04</v>
      </c>
      <c r="D48" s="32">
        <v>7.24</v>
      </c>
      <c r="E48" s="32">
        <v>7.36</v>
      </c>
      <c r="F48" s="32">
        <v>7.5</v>
      </c>
      <c r="G48" s="32">
        <v>7.66</v>
      </c>
      <c r="H48" s="32">
        <v>7.81</v>
      </c>
      <c r="I48" s="32">
        <v>7.97</v>
      </c>
      <c r="J48" s="32">
        <v>8.13</v>
      </c>
      <c r="K48" s="32">
        <v>8.29</v>
      </c>
      <c r="L48" s="33">
        <v>8.45</v>
      </c>
    </row>
    <row r="49" spans="1:12" ht="12.75">
      <c r="A49" s="6" t="s">
        <v>45</v>
      </c>
      <c r="B49" s="34">
        <f>$D$7</f>
        <v>0.117969</v>
      </c>
      <c r="C49" s="34">
        <f>($D$7)*(1+$B$10)^B15</f>
        <v>0.12032838000000001</v>
      </c>
      <c r="D49" s="34">
        <f>($D$7)*(1+$B$10)^C15</f>
        <v>0.1227349476</v>
      </c>
      <c r="E49" s="34">
        <f>($D$7)*(1+$B$10)^D15</f>
        <v>0.125189646552</v>
      </c>
      <c r="F49" s="34">
        <f aca="true" t="shared" si="14" ref="F49:L49">E49*(1+$B$10)</f>
        <v>0.12769343948304</v>
      </c>
      <c r="G49" s="34">
        <f t="shared" si="14"/>
        <v>0.13024730827270078</v>
      </c>
      <c r="H49" s="34">
        <f t="shared" si="14"/>
        <v>0.1328522544381548</v>
      </c>
      <c r="I49" s="34">
        <f t="shared" si="14"/>
        <v>0.1355092995269179</v>
      </c>
      <c r="J49" s="34">
        <f t="shared" si="14"/>
        <v>0.13821948551745625</v>
      </c>
      <c r="K49" s="34">
        <f t="shared" si="14"/>
        <v>0.14098387522780537</v>
      </c>
      <c r="L49" s="107">
        <f t="shared" si="14"/>
        <v>0.14380355273236148</v>
      </c>
    </row>
    <row r="50" spans="1:12" ht="12.75">
      <c r="A50" s="92"/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34"/>
    </row>
    <row r="51" spans="1:12" ht="12.75">
      <c r="A51" s="92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34"/>
    </row>
    <row r="52" spans="1:13" ht="12.75">
      <c r="A52" s="38" t="s">
        <v>0</v>
      </c>
      <c r="B52" s="81" t="str">
        <f>'Summary Page'!A16</f>
        <v>IC Engine - CHP</v>
      </c>
      <c r="C52" s="38" t="s">
        <v>1</v>
      </c>
      <c r="D52" s="41">
        <f>(D53*B53)-B78-B79-B80</f>
        <v>1886305.238275832</v>
      </c>
      <c r="E52" s="1"/>
      <c r="L52" s="3"/>
      <c r="M52" s="3"/>
    </row>
    <row r="53" spans="1:13" ht="12.75">
      <c r="A53" s="38" t="s">
        <v>3</v>
      </c>
      <c r="B53" s="42">
        <f>VLOOKUP(B52,'Summary Page'!$A$7:$K$19,2,0)</f>
        <v>800</v>
      </c>
      <c r="C53" s="38" t="s">
        <v>4</v>
      </c>
      <c r="D53" s="41">
        <f>VLOOKUP(B52,'Summary Page'!$A$7:$K$19,3,0)</f>
        <v>2321.88154784479</v>
      </c>
      <c r="E53" s="1"/>
      <c r="J53" s="3"/>
      <c r="L53" s="3"/>
      <c r="M53" s="3"/>
    </row>
    <row r="54" spans="1:13" ht="12.75">
      <c r="A54" s="38" t="s">
        <v>90</v>
      </c>
      <c r="B54" s="41">
        <f>VLOOKUP(B52,'Summary Page'!$A$7:$K$19,11,0)</f>
        <v>0</v>
      </c>
      <c r="C54" s="82" t="s">
        <v>6</v>
      </c>
      <c r="D54" s="83">
        <f>VLOOKUP(B52,'Summary Page'!$A$7:$K$19,4,0)</f>
        <v>0.0195</v>
      </c>
      <c r="E54" s="1"/>
      <c r="F54" s="13"/>
      <c r="J54" s="3"/>
      <c r="L54" s="3"/>
      <c r="M54" s="3"/>
    </row>
    <row r="55" spans="1:13" ht="12.75">
      <c r="A55" s="38" t="s">
        <v>91</v>
      </c>
      <c r="B55" s="41">
        <f>(VLOOKUP(B52,'Summary Page'!$A$7:$K$19,11,0))*'Summary Page'!$B$39</f>
        <v>0</v>
      </c>
      <c r="C55" s="85" t="s">
        <v>8</v>
      </c>
      <c r="D55" s="86">
        <f>VLOOKUP(B52,'Summary Page'!$A$7:$K$19,5,0)</f>
        <v>0.1</v>
      </c>
      <c r="E55" s="5"/>
      <c r="F55" s="13"/>
      <c r="J55" s="3"/>
      <c r="L55" s="3"/>
      <c r="M55" s="3"/>
    </row>
    <row r="56" spans="1:13" ht="12.75">
      <c r="A56" s="38" t="s">
        <v>92</v>
      </c>
      <c r="B56" s="41">
        <f>(VLOOKUP(B52,'Summary Page'!$A$7:$K$19,11,0))*'Summary Page'!$B$40</f>
        <v>0</v>
      </c>
      <c r="C56" s="85" t="s">
        <v>10</v>
      </c>
      <c r="D56" s="86">
        <f>VLOOKUP(B52,'Summary Page'!$A$7:$K$19,8,0)</f>
        <v>0.35</v>
      </c>
      <c r="E56" s="5"/>
      <c r="F56" s="13"/>
      <c r="J56" s="3"/>
      <c r="L56" s="3"/>
      <c r="M56" s="3"/>
    </row>
    <row r="57" spans="1:13" ht="12.75">
      <c r="A57" s="39" t="s">
        <v>7</v>
      </c>
      <c r="B57" s="84">
        <f>'Summary Page'!$B$23</f>
        <v>0.25</v>
      </c>
      <c r="C57" s="85" t="s">
        <v>13</v>
      </c>
      <c r="D57" s="86">
        <f>VLOOKUP(B52,'Summary Page'!$A$7:$K$19,9,0)</f>
        <v>0.62</v>
      </c>
      <c r="F57" s="13"/>
      <c r="J57" s="3"/>
      <c r="L57" s="3"/>
      <c r="M57" s="3"/>
    </row>
    <row r="58" spans="1:13" ht="12.75">
      <c r="A58" s="39" t="s">
        <v>9</v>
      </c>
      <c r="B58" s="87">
        <f>'Summary Page'!$B$24</f>
        <v>5</v>
      </c>
      <c r="C58" s="40" t="s">
        <v>15</v>
      </c>
      <c r="D58" s="88">
        <f>'Summary Page'!$B$27</f>
        <v>0.117969</v>
      </c>
      <c r="J58" s="3"/>
      <c r="L58" s="3"/>
      <c r="M58" s="3"/>
    </row>
    <row r="59" spans="1:13" ht="12.75">
      <c r="A59" s="38" t="s">
        <v>12</v>
      </c>
      <c r="B59" s="43">
        <f>'Summary Page'!$B$26</f>
        <v>0.05</v>
      </c>
      <c r="C59" s="38" t="s">
        <v>17</v>
      </c>
      <c r="D59" s="41">
        <f>'Summary Page'!$B$29</f>
        <v>1439.01615</v>
      </c>
      <c r="F59" s="111"/>
      <c r="J59" s="3"/>
      <c r="L59" s="3"/>
      <c r="M59" s="3"/>
    </row>
    <row r="60" spans="1:13" ht="12.75">
      <c r="A60" s="38" t="s">
        <v>14</v>
      </c>
      <c r="B60" s="43">
        <f>'Summary Page'!$B$35</f>
        <v>0.01</v>
      </c>
      <c r="C60" s="38" t="s">
        <v>19</v>
      </c>
      <c r="D60" s="42">
        <f>'Summary Page'!$B$34</f>
        <v>8760</v>
      </c>
      <c r="J60" s="3"/>
      <c r="L60" s="3"/>
      <c r="M60" s="3"/>
    </row>
    <row r="61" spans="1:13" ht="12.75">
      <c r="A61" s="39" t="s">
        <v>16</v>
      </c>
      <c r="B61" s="43">
        <f>'Summary Page'!$B$28</f>
        <v>0.02</v>
      </c>
      <c r="C61" s="38" t="s">
        <v>20</v>
      </c>
      <c r="D61" s="90">
        <f>'Summary Page'!$B$33</f>
        <v>6.2</v>
      </c>
      <c r="J61" s="3"/>
      <c r="L61" s="3"/>
      <c r="M61" s="3"/>
    </row>
    <row r="62" spans="1:13" ht="12.75">
      <c r="A62" s="39" t="s">
        <v>18</v>
      </c>
      <c r="B62" s="43">
        <f>VLOOKUP(B52,'Summary Page'!$A$7:$K$19,10,0)</f>
        <v>0.8</v>
      </c>
      <c r="C62" s="38" t="s">
        <v>77</v>
      </c>
      <c r="D62" s="84">
        <f>'Summary Page'!$B$36</f>
        <v>0.8</v>
      </c>
      <c r="J62" s="3"/>
      <c r="L62" s="3"/>
      <c r="M62" s="3"/>
    </row>
    <row r="63" spans="1:13" ht="12.75">
      <c r="A63" s="39" t="s">
        <v>22</v>
      </c>
      <c r="B63" s="89" t="str">
        <f>'Summary Page'!$B$25</f>
        <v>Yes</v>
      </c>
      <c r="C63" s="39" t="s">
        <v>24</v>
      </c>
      <c r="D63" s="91">
        <f>D64/D56</f>
        <v>9748.974285714286</v>
      </c>
      <c r="L63" s="3"/>
      <c r="M63" s="3"/>
    </row>
    <row r="64" spans="3:13" ht="12.75">
      <c r="C64" s="39" t="s">
        <v>25</v>
      </c>
      <c r="D64" s="91">
        <f>'Summary Page'!$B$37</f>
        <v>3412.141</v>
      </c>
      <c r="L64" s="3"/>
      <c r="M64" s="3"/>
    </row>
    <row r="65" spans="5:13" ht="12.75">
      <c r="E65" s="9"/>
      <c r="F65" s="9"/>
      <c r="G65" s="9"/>
      <c r="L65" s="3"/>
      <c r="M65" s="3"/>
    </row>
    <row r="66" spans="1:11" ht="12.75">
      <c r="A66" s="10" t="s">
        <v>26</v>
      </c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  <c r="I66" s="10">
        <v>8</v>
      </c>
      <c r="J66" s="10">
        <v>9</v>
      </c>
      <c r="K66" s="10">
        <v>10</v>
      </c>
    </row>
    <row r="68" spans="1:11" ht="12.75">
      <c r="A68" t="s">
        <v>27</v>
      </c>
      <c r="B68" s="11">
        <f>($B53*$B62*$D60)</f>
        <v>5606400</v>
      </c>
      <c r="C68" s="11">
        <f aca="true" t="shared" si="15" ref="C68:K68">B68*(1-$B$60)</f>
        <v>5550336</v>
      </c>
      <c r="D68" s="11">
        <f t="shared" si="15"/>
        <v>5494832.64</v>
      </c>
      <c r="E68" s="11">
        <f t="shared" si="15"/>
        <v>5439884.3136</v>
      </c>
      <c r="F68" s="11">
        <f t="shared" si="15"/>
        <v>5385485.470464</v>
      </c>
      <c r="G68" s="11">
        <f t="shared" si="15"/>
        <v>5331630.61575936</v>
      </c>
      <c r="H68" s="11">
        <f t="shared" si="15"/>
        <v>5278314.309601766</v>
      </c>
      <c r="I68" s="11">
        <f t="shared" si="15"/>
        <v>5225531.166505748</v>
      </c>
      <c r="J68" s="11">
        <f t="shared" si="15"/>
        <v>5173275.854840691</v>
      </c>
      <c r="K68" s="11">
        <f t="shared" si="15"/>
        <v>5121543.096292284</v>
      </c>
    </row>
    <row r="69" spans="1:11" ht="12.75">
      <c r="A69" t="s">
        <v>28</v>
      </c>
      <c r="B69" s="12">
        <f aca="true" t="shared" si="16" ref="B69:K69">B68*B99</f>
        <v>661381.4016</v>
      </c>
      <c r="C69" s="12">
        <f t="shared" si="16"/>
        <v>667862.9393356801</v>
      </c>
      <c r="D69" s="12">
        <f t="shared" si="16"/>
        <v>674407.9961411697</v>
      </c>
      <c r="E69" s="12">
        <f t="shared" si="16"/>
        <v>681017.1945033532</v>
      </c>
      <c r="F69" s="12">
        <f t="shared" si="16"/>
        <v>687691.163009486</v>
      </c>
      <c r="G69" s="12">
        <f t="shared" si="16"/>
        <v>694430.536406979</v>
      </c>
      <c r="H69" s="12">
        <f t="shared" si="16"/>
        <v>701235.9556637673</v>
      </c>
      <c r="I69" s="12">
        <f t="shared" si="16"/>
        <v>708108.0680292723</v>
      </c>
      <c r="J69" s="12">
        <f t="shared" si="16"/>
        <v>715047.5270959592</v>
      </c>
      <c r="K69" s="12">
        <f t="shared" si="16"/>
        <v>722054.9928614995</v>
      </c>
    </row>
    <row r="70" spans="1:11" ht="12.75">
      <c r="A70" t="s">
        <v>29</v>
      </c>
      <c r="B70" s="11">
        <f>(D63*B68)/1000000</f>
        <v>54656.649435428575</v>
      </c>
      <c r="C70" s="11">
        <f>B70</f>
        <v>54656.649435428575</v>
      </c>
      <c r="D70" s="11">
        <f aca="true" t="shared" si="17" ref="D70:K70">C70</f>
        <v>54656.649435428575</v>
      </c>
      <c r="E70" s="11">
        <f t="shared" si="17"/>
        <v>54656.649435428575</v>
      </c>
      <c r="F70" s="11">
        <f t="shared" si="17"/>
        <v>54656.649435428575</v>
      </c>
      <c r="G70" s="11">
        <f t="shared" si="17"/>
        <v>54656.649435428575</v>
      </c>
      <c r="H70" s="11">
        <f t="shared" si="17"/>
        <v>54656.649435428575</v>
      </c>
      <c r="I70" s="11">
        <f t="shared" si="17"/>
        <v>54656.649435428575</v>
      </c>
      <c r="J70" s="11">
        <f t="shared" si="17"/>
        <v>54656.649435428575</v>
      </c>
      <c r="K70" s="11">
        <f t="shared" si="17"/>
        <v>54656.649435428575</v>
      </c>
    </row>
    <row r="71" spans="1:11" ht="12.75">
      <c r="A71" s="13" t="s">
        <v>30</v>
      </c>
      <c r="B71" s="11">
        <f>(B70*$D57)-(B68/1000)*$D64/1000</f>
        <v>14757.295347565712</v>
      </c>
      <c r="C71" s="11">
        <f>(B71)*(1-$B$9)</f>
        <v>14609.722394090055</v>
      </c>
      <c r="D71" s="11">
        <f aca="true" t="shared" si="18" ref="D71:K71">(C71)*(1-$B$9)</f>
        <v>14463.625170149155</v>
      </c>
      <c r="E71" s="11">
        <f t="shared" si="18"/>
        <v>14318.988918447663</v>
      </c>
      <c r="F71" s="11">
        <f t="shared" si="18"/>
        <v>14175.799029263186</v>
      </c>
      <c r="G71" s="11">
        <f t="shared" si="18"/>
        <v>14034.041038970554</v>
      </c>
      <c r="H71" s="11">
        <f t="shared" si="18"/>
        <v>13893.700628580847</v>
      </c>
      <c r="I71" s="11">
        <f t="shared" si="18"/>
        <v>13754.763622295039</v>
      </c>
      <c r="J71" s="11">
        <f t="shared" si="18"/>
        <v>13617.215986072088</v>
      </c>
      <c r="K71" s="11">
        <f t="shared" si="18"/>
        <v>13481.043826211366</v>
      </c>
    </row>
    <row r="72" spans="1:11" ht="12.75">
      <c r="A72" t="s">
        <v>31</v>
      </c>
      <c r="B72" s="14">
        <f>B71/(B70-(B68/1000)*$D64/1000)</f>
        <v>0.4153846153846153</v>
      </c>
      <c r="C72" s="14">
        <f aca="true" t="shared" si="19" ref="C72:K72">B72*(1-$B60)</f>
        <v>0.4112307692307691</v>
      </c>
      <c r="D72" s="14">
        <f t="shared" si="19"/>
        <v>0.40711846153846143</v>
      </c>
      <c r="E72" s="14">
        <f t="shared" si="19"/>
        <v>0.4030472769230768</v>
      </c>
      <c r="F72" s="14">
        <f t="shared" si="19"/>
        <v>0.399016804153846</v>
      </c>
      <c r="G72" s="14">
        <f t="shared" si="19"/>
        <v>0.39502663611230754</v>
      </c>
      <c r="H72" s="14">
        <f t="shared" si="19"/>
        <v>0.3910763697511845</v>
      </c>
      <c r="I72" s="14">
        <f t="shared" si="19"/>
        <v>0.3871656060536726</v>
      </c>
      <c r="J72" s="14">
        <f t="shared" si="19"/>
        <v>0.3832939499931359</v>
      </c>
      <c r="K72" s="14">
        <f t="shared" si="19"/>
        <v>0.3794610104932045</v>
      </c>
    </row>
    <row r="73" spans="1:11" ht="12.75">
      <c r="A73" t="s">
        <v>32</v>
      </c>
      <c r="B73" s="11">
        <f>B71/$D62</f>
        <v>18446.61918445714</v>
      </c>
      <c r="C73" s="11">
        <f aca="true" t="shared" si="20" ref="C73:K73">C71/$D62</f>
        <v>18262.152992612566</v>
      </c>
      <c r="D73" s="11">
        <f t="shared" si="20"/>
        <v>18079.531462686442</v>
      </c>
      <c r="E73" s="11">
        <f t="shared" si="20"/>
        <v>17898.73614805958</v>
      </c>
      <c r="F73" s="11">
        <f t="shared" si="20"/>
        <v>17719.74878657898</v>
      </c>
      <c r="G73" s="11">
        <f t="shared" si="20"/>
        <v>17542.55129871319</v>
      </c>
      <c r="H73" s="11">
        <f t="shared" si="20"/>
        <v>17367.125785726057</v>
      </c>
      <c r="I73" s="11">
        <f t="shared" si="20"/>
        <v>17193.4545278688</v>
      </c>
      <c r="J73" s="11">
        <f t="shared" si="20"/>
        <v>17021.519982590107</v>
      </c>
      <c r="K73" s="11">
        <f t="shared" si="20"/>
        <v>16851.304782764208</v>
      </c>
    </row>
    <row r="74" spans="1:11" ht="12.75">
      <c r="A74" t="s">
        <v>33</v>
      </c>
      <c r="B74" s="12">
        <f aca="true" t="shared" si="21" ref="B74:K74">B73*B98</f>
        <v>114369.03894363427</v>
      </c>
      <c r="C74" s="12">
        <f t="shared" si="21"/>
        <v>128565.55706799247</v>
      </c>
      <c r="D74" s="12">
        <f t="shared" si="21"/>
        <v>130895.80778984984</v>
      </c>
      <c r="E74" s="12">
        <f t="shared" si="21"/>
        <v>131734.6980497185</v>
      </c>
      <c r="F74" s="12">
        <f t="shared" si="21"/>
        <v>132898.11589934235</v>
      </c>
      <c r="G74" s="12">
        <f t="shared" si="21"/>
        <v>134375.94294814306</v>
      </c>
      <c r="H74" s="12">
        <f t="shared" si="21"/>
        <v>135637.2523865205</v>
      </c>
      <c r="I74" s="12">
        <f t="shared" si="21"/>
        <v>137031.83258711433</v>
      </c>
      <c r="J74" s="12">
        <f t="shared" si="21"/>
        <v>138384.9574584576</v>
      </c>
      <c r="K74" s="12">
        <f t="shared" si="21"/>
        <v>139697.31664911527</v>
      </c>
    </row>
    <row r="75" spans="1:11" ht="12.75">
      <c r="A75" t="s">
        <v>34</v>
      </c>
      <c r="B75" s="15">
        <f aca="true" t="shared" si="22" ref="B75:K75">-B70*B98</f>
        <v>-338871.22649965715</v>
      </c>
      <c r="C75" s="15">
        <f t="shared" si="22"/>
        <v>-384782.81202541717</v>
      </c>
      <c r="D75" s="15">
        <f t="shared" si="22"/>
        <v>-395714.1419125029</v>
      </c>
      <c r="E75" s="15">
        <f t="shared" si="22"/>
        <v>-402272.93984475435</v>
      </c>
      <c r="F75" s="15">
        <f t="shared" si="22"/>
        <v>-409924.8707657143</v>
      </c>
      <c r="G75" s="15">
        <f t="shared" si="22"/>
        <v>-418669.9346753829</v>
      </c>
      <c r="H75" s="15">
        <f t="shared" si="22"/>
        <v>-426868.43209069717</v>
      </c>
      <c r="I75" s="15">
        <f t="shared" si="22"/>
        <v>-435613.4960003657</v>
      </c>
      <c r="J75" s="15">
        <f t="shared" si="22"/>
        <v>-444358.55991003435</v>
      </c>
      <c r="K75" s="15">
        <f t="shared" si="22"/>
        <v>-453103.6238197028</v>
      </c>
    </row>
    <row r="76" spans="1:11" ht="12.75">
      <c r="A76" t="s">
        <v>35</v>
      </c>
      <c r="B76" s="15">
        <f>B68*(-$D54)</f>
        <v>-109324.8</v>
      </c>
      <c r="C76" s="15">
        <f aca="true" t="shared" si="23" ref="C76:K76">C68*(-$D54)</f>
        <v>-108231.552</v>
      </c>
      <c r="D76" s="15">
        <f t="shared" si="23"/>
        <v>-107149.23647999999</v>
      </c>
      <c r="E76" s="15">
        <f t="shared" si="23"/>
        <v>-106077.7441152</v>
      </c>
      <c r="F76" s="15">
        <f t="shared" si="23"/>
        <v>-105016.96667404799</v>
      </c>
      <c r="G76" s="15">
        <f t="shared" si="23"/>
        <v>-103966.79700730751</v>
      </c>
      <c r="H76" s="15">
        <f t="shared" si="23"/>
        <v>-102927.12903723444</v>
      </c>
      <c r="I76" s="15">
        <f t="shared" si="23"/>
        <v>-101897.8577468621</v>
      </c>
      <c r="J76" s="15">
        <f t="shared" si="23"/>
        <v>-100878.87916939348</v>
      </c>
      <c r="K76" s="15">
        <f t="shared" si="23"/>
        <v>-99870.09037769954</v>
      </c>
    </row>
    <row r="77" spans="1:11" ht="12.75">
      <c r="A77" s="13" t="s">
        <v>78</v>
      </c>
      <c r="B77" s="15">
        <f>-$D59</f>
        <v>-1439.01615</v>
      </c>
      <c r="C77" s="15">
        <f aca="true" t="shared" si="24" ref="C77:K77">-$D59</f>
        <v>-1439.01615</v>
      </c>
      <c r="D77" s="15">
        <f t="shared" si="24"/>
        <v>-1439.01615</v>
      </c>
      <c r="E77" s="15">
        <f t="shared" si="24"/>
        <v>-1439.01615</v>
      </c>
      <c r="F77" s="15">
        <f t="shared" si="24"/>
        <v>-1439.01615</v>
      </c>
      <c r="G77" s="15">
        <f t="shared" si="24"/>
        <v>-1439.01615</v>
      </c>
      <c r="H77" s="15">
        <f t="shared" si="24"/>
        <v>-1439.01615</v>
      </c>
      <c r="I77" s="15">
        <f t="shared" si="24"/>
        <v>-1439.01615</v>
      </c>
      <c r="J77" s="15">
        <f t="shared" si="24"/>
        <v>-1439.01615</v>
      </c>
      <c r="K77" s="15">
        <f t="shared" si="24"/>
        <v>-1439.01615</v>
      </c>
    </row>
    <row r="78" spans="1:11" ht="12.75">
      <c r="A78" s="13" t="s">
        <v>83</v>
      </c>
      <c r="B78" s="15">
        <f>-'Summary Page'!$B$30</f>
        <v>-4300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3" t="s">
        <v>86</v>
      </c>
      <c r="B79" s="15">
        <f>-'Summary Page'!$B$31</f>
        <v>-17000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3" t="s">
        <v>85</v>
      </c>
      <c r="B80" s="15">
        <f>-'Summary Page'!$B$32</f>
        <v>-7500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" hidden="1">
      <c r="A81" s="13" t="s">
        <v>93</v>
      </c>
      <c r="B81" s="113">
        <f>IF(B53&gt;=1000,1000*B54*B57,B53*B54*B57)</f>
        <v>0</v>
      </c>
      <c r="C81" s="113">
        <f>IF(($B81/$B57)-B81&gt;=0.1,((($B81/$B57)-$B81)/$B$7),0)</f>
        <v>0</v>
      </c>
      <c r="D81" s="113">
        <f>IF(($B81/$B57)-B81-C81&gt;=0.1,((($B81/$B57)-$B81)/$B$7),0)</f>
        <v>0</v>
      </c>
      <c r="E81" s="113">
        <f>IF(($B81/$B57)-B81-C81-D81&gt;=0.1,((($B81/$B57)-$B81)/$B$7),0)</f>
        <v>0</v>
      </c>
      <c r="F81" s="113">
        <f>IF(($B81/$B57)-B81-C81-D81-E81&gt;=0.1,((($B81/$B57)-$B81)/$B$7),0)</f>
        <v>0</v>
      </c>
      <c r="G81" s="113">
        <f>IF(($B81/$B57)-B81-C81-D81-E81-F81&gt;=0.1,((($B81/$B57)-$B81)/$B$7),0)</f>
        <v>0</v>
      </c>
      <c r="H81" s="113">
        <f>IF(($B81/$B57)-B81-C81-D81-E81-F81-G81&gt;=0.1,((($B81/$B57)-$B81)/$B$7),0)</f>
        <v>0</v>
      </c>
      <c r="I81" s="113">
        <f>IF(($B81/$B57)-B81-C81-D81-E81-F81-G81-H81&gt;=0.1,((($B81/$B57)-$B81)/$B$7),0)</f>
        <v>0</v>
      </c>
      <c r="J81" s="113">
        <f>IF(($B81/$B57)-B81-C81-D81-E81-F81-G81-H81-I81&gt;=0.1,((($B81/$B57)-$B81)/$B$7),0)</f>
        <v>0</v>
      </c>
      <c r="K81" s="113">
        <f>IF(($B81/$B57)-B81-C81-D81-E81-F81-G81-H81-I81-J81&gt;=0.1,((($B81/$B57)-$B81)/$B$7),0)</f>
        <v>0</v>
      </c>
    </row>
    <row r="82" spans="1:11" ht="12" hidden="1">
      <c r="A82" s="13" t="s">
        <v>94</v>
      </c>
      <c r="B82" s="113">
        <f>IF(AND(B53&gt;=0,B53&lt;=2000),(B53-1000)*B55*B57,1000*B55*B57)</f>
        <v>0</v>
      </c>
      <c r="C82" s="113">
        <f>IF(($B82/$B57)-B82&gt;=0.1,((($B82/$B57)-$B82)/$B$7),0)</f>
        <v>0</v>
      </c>
      <c r="D82" s="113">
        <f>IF(($B82/$B57)-B82-C82&gt;=0.1,((($B82/$B57)-$B82)/$B$7),0)</f>
        <v>0</v>
      </c>
      <c r="E82" s="113">
        <f>IF(($B82/$B57)-B82-C82-D82&gt;=0.1,((($B82/$B57)-$B82)/$B$7),0)</f>
        <v>0</v>
      </c>
      <c r="F82" s="113">
        <f>IF(($B82/$B57)-B82-C82-D82-E82&gt;=0.1,((($B82/$B57)-$B82)/$B$7),0)</f>
        <v>0</v>
      </c>
      <c r="G82" s="113">
        <f>IF(($B82/$B57)-B82-C82-D82-E82-F82&gt;=0.1,((($B82/$B57)-$B82)/$B$7),0)</f>
        <v>0</v>
      </c>
      <c r="H82" s="113">
        <f>IF(($B82/$B57)-B82-C82-D82-E82-F82-G82&gt;=0.1,((($B82/$B57)-$B82)/$B$7),0)</f>
        <v>0</v>
      </c>
      <c r="I82" s="113">
        <f>IF(($B82/$B57)-B82-C82-D82-E82-F82-G82-H82&gt;=0.1,((($B82/$B57)-$B82)/$B$7),0)</f>
        <v>0</v>
      </c>
      <c r="J82" s="113">
        <f>IF(($B82/$B57)-B82-C82-D82-E82-F82-G82-H82-I82&gt;=0.1,((($B82/$B57)-$B82)/$B$7),0)</f>
        <v>0</v>
      </c>
      <c r="K82" s="113">
        <f>IF(($B82/$B57)-B82-C82-D82-E82-F82-G82-H82-I82-J82&gt;=0.1,((($B82/$B57)-$B82)/$B$7),0)</f>
        <v>0</v>
      </c>
    </row>
    <row r="83" spans="1:11" ht="12" hidden="1">
      <c r="A83" s="13" t="s">
        <v>95</v>
      </c>
      <c r="B83" s="113">
        <f>IF(AND(B53&gt;=0,B53&lt;=3000),(B53-2000)*B56*B57,1000*B56*B57)</f>
        <v>0</v>
      </c>
      <c r="C83" s="113">
        <f>IF(($B83/$B57)-B83&gt;=0.1,((($B83/$B57)-$B83)/$B$7),0)</f>
        <v>0</v>
      </c>
      <c r="D83" s="113">
        <f>IF(($B83/$B57)-B83-C83&gt;=0.1,((($B83/$B57)-$B83)/$B$7),0)</f>
        <v>0</v>
      </c>
      <c r="E83" s="113">
        <f>IF(($B83/$B57)-B83-C83-D83&gt;=0.1,((($B83/$B57)-$B83)/$B$7),0)</f>
        <v>0</v>
      </c>
      <c r="F83" s="113">
        <f>IF(($B83/$B57)-B83-C83-D83-E83&gt;=0.1,((($B83/$B57)-$B83)/$B$7),0)</f>
        <v>0</v>
      </c>
      <c r="G83" s="113">
        <f>IF(($B83/$B57)-B83-C83-D83-E83-F83&gt;=0.1,((($B83/$B57)-$B83)/$B$7),0)</f>
        <v>0</v>
      </c>
      <c r="H83" s="113">
        <f>IF(($B83/$B57)-B83-C83-D83-E83-F83-G83&gt;=0.1,((($B83/$B57)-$B83)/$B$7),0)</f>
        <v>0</v>
      </c>
      <c r="I83" s="113">
        <f>IF(($B83/$B57)-B83-C83-D83-E83-F83-G83-H83&gt;=0.1,((($B83/$B57)-$B83)/$B$7),0)</f>
        <v>0</v>
      </c>
      <c r="J83" s="113">
        <f>IF(($B83/$B57)-B83-C83-D83-E83-F83-G83-H83-I83&gt;=0.1,((($B83/$B57)-$B83)/$B$7),0)</f>
        <v>0</v>
      </c>
      <c r="K83" s="113">
        <f>IF(($B83/$B57)-B83-C83-D83-E83-F83-G83-H83-I83-J83&gt;=0.1,((($B83/$B57)-$B83)/$B$7),0)</f>
        <v>0</v>
      </c>
    </row>
    <row r="84" spans="1:11" ht="12.75">
      <c r="A84" s="13" t="s">
        <v>96</v>
      </c>
      <c r="B84" s="12">
        <f aca="true" t="shared" si="25" ref="B84:K84">IF(B82&lt;=0,0,B82)+IF(B83&lt;=0,0,B83)+B81</f>
        <v>0</v>
      </c>
      <c r="C84" s="12">
        <f t="shared" si="25"/>
        <v>0</v>
      </c>
      <c r="D84" s="12">
        <f t="shared" si="25"/>
        <v>0</v>
      </c>
      <c r="E84" s="12">
        <f t="shared" si="25"/>
        <v>0</v>
      </c>
      <c r="F84" s="12">
        <f t="shared" si="25"/>
        <v>0</v>
      </c>
      <c r="G84" s="12">
        <f t="shared" si="25"/>
        <v>0</v>
      </c>
      <c r="H84" s="12">
        <f t="shared" si="25"/>
        <v>0</v>
      </c>
      <c r="I84" s="12">
        <f t="shared" si="25"/>
        <v>0</v>
      </c>
      <c r="J84" s="12">
        <f t="shared" si="25"/>
        <v>0</v>
      </c>
      <c r="K84" s="12">
        <f t="shared" si="25"/>
        <v>0</v>
      </c>
    </row>
    <row r="85" spans="1:11" ht="12.75">
      <c r="A85" t="s">
        <v>36</v>
      </c>
      <c r="B85" s="12">
        <f aca="true" t="shared" si="26" ref="B85:K85">IF($B$12="yes",(B84*0.2),0)</f>
        <v>0</v>
      </c>
      <c r="C85" s="12">
        <f t="shared" si="26"/>
        <v>0</v>
      </c>
      <c r="D85" s="12">
        <f t="shared" si="26"/>
        <v>0</v>
      </c>
      <c r="E85" s="12">
        <f t="shared" si="26"/>
        <v>0</v>
      </c>
      <c r="F85" s="12">
        <f t="shared" si="26"/>
        <v>0</v>
      </c>
      <c r="G85" s="12">
        <f t="shared" si="26"/>
        <v>0</v>
      </c>
      <c r="H85" s="12">
        <f t="shared" si="26"/>
        <v>0</v>
      </c>
      <c r="I85" s="12">
        <f t="shared" si="26"/>
        <v>0</v>
      </c>
      <c r="J85" s="12">
        <f t="shared" si="26"/>
        <v>0</v>
      </c>
      <c r="K85" s="12">
        <f t="shared" si="26"/>
        <v>0</v>
      </c>
    </row>
    <row r="86" spans="1:4" ht="12.75" hidden="1">
      <c r="A86" t="s">
        <v>54</v>
      </c>
      <c r="B86" s="12">
        <f>((D52)-SUM(B84:K85))*D55</f>
        <v>188630.5238275832</v>
      </c>
      <c r="C86" s="12"/>
      <c r="D86" s="12"/>
    </row>
    <row r="87" spans="1:4" ht="12.75">
      <c r="A87" t="s">
        <v>53</v>
      </c>
      <c r="B87" s="12">
        <f>MIN(B86:B86)</f>
        <v>188630.5238275832</v>
      </c>
      <c r="C87" s="12"/>
      <c r="D87" s="12"/>
    </row>
    <row r="88" spans="1:13" ht="12.75">
      <c r="A88" t="s">
        <v>38</v>
      </c>
      <c r="B88" s="16">
        <f>-$D52+B69+B74+B75+B76+B77+B78+B79+B80+B84+B85+B87</f>
        <v>-1400359.3165542716</v>
      </c>
      <c r="C88" s="16">
        <f aca="true" t="shared" si="27" ref="C88:K88">C69+C74+C75+C76+C77+C84+C85+C87</f>
        <v>301975.1162282555</v>
      </c>
      <c r="D88" s="16">
        <f t="shared" si="27"/>
        <v>301001.4093885166</v>
      </c>
      <c r="E88" s="16">
        <f t="shared" si="27"/>
        <v>302962.1924431174</v>
      </c>
      <c r="F88" s="16">
        <f t="shared" si="27"/>
        <v>304208.4253190661</v>
      </c>
      <c r="G88" s="16">
        <f t="shared" si="27"/>
        <v>304730.73152243154</v>
      </c>
      <c r="H88" s="16">
        <f t="shared" si="27"/>
        <v>305638.63077235623</v>
      </c>
      <c r="I88" s="16">
        <f t="shared" si="27"/>
        <v>306189.53071915876</v>
      </c>
      <c r="J88" s="16">
        <f t="shared" si="27"/>
        <v>306756.0293249889</v>
      </c>
      <c r="K88" s="16">
        <f t="shared" si="27"/>
        <v>307339.5791632125</v>
      </c>
      <c r="L88" s="16"/>
      <c r="M88" s="16"/>
    </row>
    <row r="89" spans="1:11" ht="12.75">
      <c r="A89" t="s">
        <v>39</v>
      </c>
      <c r="B89" s="16">
        <f>B88</f>
        <v>-1400359.3165542716</v>
      </c>
      <c r="C89" s="16">
        <f>B89+C88</f>
        <v>-1098384.2003260162</v>
      </c>
      <c r="D89" s="16">
        <f aca="true" t="shared" si="28" ref="D89:K89">C89+D88</f>
        <v>-797382.7909374996</v>
      </c>
      <c r="E89" s="16">
        <f t="shared" si="28"/>
        <v>-494420.5984943822</v>
      </c>
      <c r="F89" s="16">
        <f t="shared" si="28"/>
        <v>-190212.17317531613</v>
      </c>
      <c r="G89" s="16">
        <f t="shared" si="28"/>
        <v>114518.55834711541</v>
      </c>
      <c r="H89" s="16">
        <f t="shared" si="28"/>
        <v>420157.18911947164</v>
      </c>
      <c r="I89" s="16">
        <f t="shared" si="28"/>
        <v>726346.7198386304</v>
      </c>
      <c r="J89" s="16">
        <f t="shared" si="28"/>
        <v>1033102.7491636192</v>
      </c>
      <c r="K89" s="16">
        <f t="shared" si="28"/>
        <v>1340442.3283268318</v>
      </c>
    </row>
    <row r="90" spans="2:11" ht="12.75">
      <c r="B90" s="17"/>
      <c r="C90" s="17"/>
      <c r="D90" s="18"/>
      <c r="E90" s="18"/>
      <c r="F90" s="18"/>
      <c r="G90" s="19"/>
      <c r="H90" s="19"/>
      <c r="I90" s="17"/>
      <c r="J90" s="17"/>
      <c r="K90" s="17"/>
    </row>
    <row r="91" spans="1:11" ht="12.75">
      <c r="A91" s="20" t="s">
        <v>40</v>
      </c>
      <c r="B91" s="21">
        <f>(NPV($B$8,C88:K88))+$B$88</f>
        <v>762414.6658853674</v>
      </c>
      <c r="C91" s="18"/>
      <c r="E91" s="18"/>
      <c r="F91" s="18"/>
      <c r="G91" s="19"/>
      <c r="H91" s="19"/>
      <c r="I91" s="17"/>
      <c r="J91" s="17"/>
      <c r="K91" s="17"/>
    </row>
    <row r="92" spans="1:11" ht="12.75">
      <c r="A92" s="22" t="s">
        <v>41</v>
      </c>
      <c r="B92" s="23">
        <f>IRR(B88:K88)</f>
        <v>0.15979982245829816</v>
      </c>
      <c r="C92" s="18"/>
      <c r="D92" s="18"/>
      <c r="E92" s="18"/>
      <c r="F92" s="24"/>
      <c r="G92" s="19"/>
      <c r="H92" s="19"/>
      <c r="I92" s="17"/>
      <c r="J92" s="17"/>
      <c r="K92" s="17"/>
    </row>
    <row r="93" spans="1:11" ht="12.75">
      <c r="A93" s="25" t="s">
        <v>42</v>
      </c>
      <c r="B93" s="26">
        <f>COUNTIF(B89:K89,"&lt;0")+1-INDEX(B89:K89,COUNTIF(B89:K89,"&lt;0")+1)/INDEX(B88:K88,COUNTIF(B89:K89,"&lt;0")+1)</f>
        <v>5.624197540645206</v>
      </c>
      <c r="C93" s="18"/>
      <c r="E93" s="18"/>
      <c r="F93" s="18"/>
      <c r="G93" s="19"/>
      <c r="H93" s="19"/>
      <c r="I93" s="17"/>
      <c r="J93" s="17"/>
      <c r="K93" s="17"/>
    </row>
    <row r="94" spans="1:11" ht="12.75">
      <c r="A94" s="27"/>
      <c r="B94" s="28"/>
      <c r="C94" s="18"/>
      <c r="E94" s="18"/>
      <c r="F94" s="18"/>
      <c r="G94" s="19"/>
      <c r="H94" s="19"/>
      <c r="I94" s="17"/>
      <c r="J94" s="17"/>
      <c r="K94" s="17"/>
    </row>
    <row r="95" spans="1:12" ht="12.75">
      <c r="A95" s="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1:7" ht="12.75">
      <c r="A96" s="29" t="s">
        <v>43</v>
      </c>
      <c r="F96" s="11"/>
      <c r="G96" s="11"/>
    </row>
    <row r="97" spans="1:12" ht="12.75">
      <c r="A97" s="20" t="s">
        <v>26</v>
      </c>
      <c r="B97" s="30">
        <v>2010</v>
      </c>
      <c r="C97" s="30">
        <v>2011</v>
      </c>
      <c r="D97" s="30">
        <v>2012</v>
      </c>
      <c r="E97" s="30">
        <v>2013</v>
      </c>
      <c r="F97" s="30">
        <v>2014</v>
      </c>
      <c r="G97" s="30">
        <v>2015</v>
      </c>
      <c r="H97" s="30">
        <v>2016</v>
      </c>
      <c r="I97" s="30">
        <v>2017</v>
      </c>
      <c r="J97" s="30">
        <v>2018</v>
      </c>
      <c r="K97" s="30">
        <v>2019</v>
      </c>
      <c r="L97" s="31">
        <v>2020</v>
      </c>
    </row>
    <row r="98" spans="1:12" ht="12.75">
      <c r="A98" s="2" t="s">
        <v>44</v>
      </c>
      <c r="B98" s="32">
        <v>6.2</v>
      </c>
      <c r="C98" s="32">
        <v>7.04</v>
      </c>
      <c r="D98" s="32">
        <v>7.24</v>
      </c>
      <c r="E98" s="32">
        <v>7.36</v>
      </c>
      <c r="F98" s="32">
        <v>7.5</v>
      </c>
      <c r="G98" s="32">
        <v>7.66</v>
      </c>
      <c r="H98" s="32">
        <v>7.81</v>
      </c>
      <c r="I98" s="32">
        <v>7.97</v>
      </c>
      <c r="J98" s="32">
        <v>8.13</v>
      </c>
      <c r="K98" s="32">
        <v>8.29</v>
      </c>
      <c r="L98" s="33">
        <v>8.45</v>
      </c>
    </row>
    <row r="99" spans="1:12" ht="12.75">
      <c r="A99" s="6" t="s">
        <v>45</v>
      </c>
      <c r="B99" s="34">
        <v>0.117969</v>
      </c>
      <c r="C99" s="34">
        <v>0.12032838000000001</v>
      </c>
      <c r="D99" s="34">
        <v>0.12273494760000002</v>
      </c>
      <c r="E99" s="34">
        <v>0.12518964655200002</v>
      </c>
      <c r="F99" s="34">
        <v>0.12769343948304002</v>
      </c>
      <c r="G99" s="34">
        <v>0.1302473082727008</v>
      </c>
      <c r="H99" s="34">
        <v>0.13285225443815482</v>
      </c>
      <c r="I99" s="34">
        <v>0.13550929952691793</v>
      </c>
      <c r="J99" s="34">
        <v>0.13821948551745628</v>
      </c>
      <c r="K99" s="34">
        <v>0.1409838752278054</v>
      </c>
      <c r="L99" s="107">
        <v>0.1438035527323615</v>
      </c>
    </row>
    <row r="100" spans="1:12" ht="12.75">
      <c r="A100" s="92"/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34"/>
    </row>
    <row r="101" spans="1:12" ht="12.75">
      <c r="A101" s="92"/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34"/>
    </row>
    <row r="102" spans="1:13" ht="12.75">
      <c r="A102" s="38" t="s">
        <v>0</v>
      </c>
      <c r="B102" s="81" t="str">
        <f>'Summary Page'!A12</f>
        <v>Gas Turbine - CHP</v>
      </c>
      <c r="C102" s="38" t="s">
        <v>1</v>
      </c>
      <c r="D102" s="41">
        <f>(D103*B103)-B128-B129-B130</f>
        <v>2375890</v>
      </c>
      <c r="E102" s="1"/>
      <c r="L102" s="3"/>
      <c r="M102" s="3"/>
    </row>
    <row r="103" spans="1:13" ht="12.75">
      <c r="A103" s="38" t="s">
        <v>3</v>
      </c>
      <c r="B103" s="42">
        <f>VLOOKUP(B102,'Summary Page'!$A$7:$K$19,2,0)</f>
        <v>1000</v>
      </c>
      <c r="C103" s="38" t="s">
        <v>4</v>
      </c>
      <c r="D103" s="41">
        <f>VLOOKUP(B102,'Summary Page'!$A$7:$K$19,3,0)</f>
        <v>2347.09</v>
      </c>
      <c r="E103" s="1"/>
      <c r="F103" s="111"/>
      <c r="J103" s="3"/>
      <c r="L103" s="3"/>
      <c r="M103" s="3"/>
    </row>
    <row r="104" spans="1:13" ht="12.75">
      <c r="A104" s="38" t="s">
        <v>90</v>
      </c>
      <c r="B104" s="41">
        <f>VLOOKUP(B102,'Summary Page'!$A$7:$K$19,11,0)</f>
        <v>0</v>
      </c>
      <c r="C104" s="82" t="s">
        <v>6</v>
      </c>
      <c r="D104" s="83">
        <f>VLOOKUP(B102,'Summary Page'!$A$7:$K$19,4,0)</f>
        <v>0.0195</v>
      </c>
      <c r="E104" s="1"/>
      <c r="J104" s="3"/>
      <c r="L104" s="3"/>
      <c r="M104" s="3"/>
    </row>
    <row r="105" spans="1:13" ht="12.75">
      <c r="A105" s="38" t="s">
        <v>91</v>
      </c>
      <c r="B105" s="41">
        <f>(VLOOKUP(B102,'Summary Page'!$A$7:$K$19,11,0))*'Summary Page'!$B$39</f>
        <v>0</v>
      </c>
      <c r="C105" s="85" t="s">
        <v>8</v>
      </c>
      <c r="D105" s="86">
        <f>VLOOKUP(B102,'Summary Page'!$A$7:$K$19,5,0)</f>
        <v>0.1</v>
      </c>
      <c r="E105" s="5"/>
      <c r="J105" s="3"/>
      <c r="L105" s="3"/>
      <c r="M105" s="3"/>
    </row>
    <row r="106" spans="1:13" ht="12.75">
      <c r="A106" s="38" t="s">
        <v>92</v>
      </c>
      <c r="B106" s="41">
        <f>(VLOOKUP(B102,'Summary Page'!$A$7:$K$19,11,0))*'Summary Page'!$B$40</f>
        <v>0</v>
      </c>
      <c r="C106" s="85" t="s">
        <v>10</v>
      </c>
      <c r="D106" s="86">
        <f>VLOOKUP(B102,'Summary Page'!$A$7:$K$19,8,0)</f>
        <v>0.29</v>
      </c>
      <c r="E106" s="5"/>
      <c r="J106" s="3"/>
      <c r="L106" s="3"/>
      <c r="M106" s="3"/>
    </row>
    <row r="107" spans="1:13" ht="12.75">
      <c r="A107" s="39" t="s">
        <v>7</v>
      </c>
      <c r="B107" s="84">
        <f>'Summary Page'!$B$23</f>
        <v>0.25</v>
      </c>
      <c r="C107" s="85" t="s">
        <v>13</v>
      </c>
      <c r="D107" s="86">
        <f>VLOOKUP(B102,'Summary Page'!$A$7:$K$19,9,0)</f>
        <v>0.62</v>
      </c>
      <c r="J107" s="3"/>
      <c r="L107" s="3"/>
      <c r="M107" s="3"/>
    </row>
    <row r="108" spans="1:13" ht="12.75">
      <c r="A108" s="39" t="s">
        <v>9</v>
      </c>
      <c r="B108" s="87">
        <f>'Summary Page'!$B$24</f>
        <v>5</v>
      </c>
      <c r="C108" s="40" t="s">
        <v>15</v>
      </c>
      <c r="D108" s="88">
        <f>'Summary Page'!$B$27</f>
        <v>0.117969</v>
      </c>
      <c r="J108" s="3"/>
      <c r="L108" s="3"/>
      <c r="M108" s="3"/>
    </row>
    <row r="109" spans="1:13" ht="12.75">
      <c r="A109" s="38" t="s">
        <v>12</v>
      </c>
      <c r="B109" s="43">
        <f>'Summary Page'!$B$26</f>
        <v>0.05</v>
      </c>
      <c r="C109" s="38" t="s">
        <v>17</v>
      </c>
      <c r="D109" s="41">
        <f>'Summary Page'!$B$29</f>
        <v>1439.01615</v>
      </c>
      <c r="J109" s="3"/>
      <c r="L109" s="3"/>
      <c r="M109" s="3"/>
    </row>
    <row r="110" spans="1:13" ht="12.75">
      <c r="A110" s="38" t="s">
        <v>14</v>
      </c>
      <c r="B110" s="43">
        <f>'Summary Page'!$B$35</f>
        <v>0.01</v>
      </c>
      <c r="C110" s="38" t="s">
        <v>19</v>
      </c>
      <c r="D110" s="42">
        <f>'Summary Page'!$B$34</f>
        <v>8760</v>
      </c>
      <c r="J110" s="3"/>
      <c r="L110" s="3"/>
      <c r="M110" s="3"/>
    </row>
    <row r="111" spans="1:13" ht="12.75">
      <c r="A111" s="39" t="s">
        <v>16</v>
      </c>
      <c r="B111" s="43">
        <f>'Summary Page'!$B$28</f>
        <v>0.02</v>
      </c>
      <c r="C111" s="38" t="s">
        <v>20</v>
      </c>
      <c r="D111" s="90">
        <f>'Summary Page'!$B$33</f>
        <v>6.2</v>
      </c>
      <c r="J111" s="3"/>
      <c r="L111" s="3"/>
      <c r="M111" s="3"/>
    </row>
    <row r="112" spans="1:13" ht="12.75">
      <c r="A112" s="39" t="s">
        <v>18</v>
      </c>
      <c r="B112" s="43">
        <f>VLOOKUP(B102,'Summary Page'!$A$7:$K$19,10,0)</f>
        <v>0.8</v>
      </c>
      <c r="C112" s="38" t="s">
        <v>77</v>
      </c>
      <c r="D112" s="84">
        <f>'Summary Page'!$B$36</f>
        <v>0.8</v>
      </c>
      <c r="J112" s="3"/>
      <c r="L112" s="3"/>
      <c r="M112" s="3"/>
    </row>
    <row r="113" spans="1:13" ht="12.75">
      <c r="A113" s="39" t="s">
        <v>22</v>
      </c>
      <c r="B113" s="89" t="str">
        <f>'Summary Page'!$B$25</f>
        <v>Yes</v>
      </c>
      <c r="C113" s="39" t="s">
        <v>24</v>
      </c>
      <c r="D113" s="91">
        <f>D114/D106</f>
        <v>11766.003448275864</v>
      </c>
      <c r="L113" s="3"/>
      <c r="M113" s="3"/>
    </row>
    <row r="114" spans="3:13" ht="12.75">
      <c r="C114" s="39" t="s">
        <v>25</v>
      </c>
      <c r="D114" s="91">
        <f>'Summary Page'!$B$37</f>
        <v>3412.141</v>
      </c>
      <c r="L114" s="3"/>
      <c r="M114" s="3"/>
    </row>
    <row r="115" spans="5:13" ht="12.75">
      <c r="E115" s="9"/>
      <c r="F115" s="9"/>
      <c r="G115" s="9"/>
      <c r="L115" s="3"/>
      <c r="M115" s="3"/>
    </row>
    <row r="116" spans="1:11" ht="12.75">
      <c r="A116" s="10" t="s">
        <v>26</v>
      </c>
      <c r="B116" s="10">
        <v>1</v>
      </c>
      <c r="C116" s="10">
        <v>2</v>
      </c>
      <c r="D116" s="10">
        <v>3</v>
      </c>
      <c r="E116" s="10">
        <v>4</v>
      </c>
      <c r="F116" s="10">
        <v>5</v>
      </c>
      <c r="G116" s="10">
        <v>6</v>
      </c>
      <c r="H116" s="10">
        <v>7</v>
      </c>
      <c r="I116" s="10">
        <v>8</v>
      </c>
      <c r="J116" s="10">
        <v>9</v>
      </c>
      <c r="K116" s="10">
        <v>10</v>
      </c>
    </row>
    <row r="118" spans="1:11" ht="12.75">
      <c r="A118" t="s">
        <v>27</v>
      </c>
      <c r="B118" s="11">
        <f>($B103*$B112*$D110)</f>
        <v>7008000</v>
      </c>
      <c r="C118" s="11">
        <f aca="true" t="shared" si="29" ref="C118:K118">B118*(1-$B$110)</f>
        <v>6937920</v>
      </c>
      <c r="D118" s="11">
        <f t="shared" si="29"/>
        <v>6868540.8</v>
      </c>
      <c r="E118" s="11">
        <f t="shared" si="29"/>
        <v>6799855.392</v>
      </c>
      <c r="F118" s="11">
        <f t="shared" si="29"/>
        <v>6731856.83808</v>
      </c>
      <c r="G118" s="11">
        <f t="shared" si="29"/>
        <v>6664538.2696992</v>
      </c>
      <c r="H118" s="11">
        <f t="shared" si="29"/>
        <v>6597892.887002208</v>
      </c>
      <c r="I118" s="11">
        <f t="shared" si="29"/>
        <v>6531913.958132186</v>
      </c>
      <c r="J118" s="11">
        <f t="shared" si="29"/>
        <v>6466594.818550864</v>
      </c>
      <c r="K118" s="11">
        <f t="shared" si="29"/>
        <v>6401928.870365355</v>
      </c>
    </row>
    <row r="119" spans="1:11" ht="12.75">
      <c r="A119" t="s">
        <v>28</v>
      </c>
      <c r="B119" s="12">
        <f aca="true" t="shared" si="30" ref="B119:K119">B118*B149</f>
        <v>826726.752</v>
      </c>
      <c r="C119" s="12">
        <f t="shared" si="30"/>
        <v>834828.6741696001</v>
      </c>
      <c r="D119" s="12">
        <f t="shared" si="30"/>
        <v>843009.9951764621</v>
      </c>
      <c r="E119" s="12">
        <f t="shared" si="30"/>
        <v>851271.4931291913</v>
      </c>
      <c r="F119" s="12">
        <f t="shared" si="30"/>
        <v>859613.9537618575</v>
      </c>
      <c r="G119" s="12">
        <f t="shared" si="30"/>
        <v>868038.1705087238</v>
      </c>
      <c r="H119" s="12">
        <f t="shared" si="30"/>
        <v>876544.9445797092</v>
      </c>
      <c r="I119" s="12">
        <f t="shared" si="30"/>
        <v>885135.0850365902</v>
      </c>
      <c r="J119" s="12">
        <f t="shared" si="30"/>
        <v>893809.4088699489</v>
      </c>
      <c r="K119" s="12">
        <f t="shared" si="30"/>
        <v>902568.7410768743</v>
      </c>
    </row>
    <row r="120" spans="1:11" ht="12.75">
      <c r="A120" t="s">
        <v>29</v>
      </c>
      <c r="B120" s="11">
        <f>(D113*B118)/1000000</f>
        <v>82456.15216551725</v>
      </c>
      <c r="C120" s="11">
        <f>B120</f>
        <v>82456.15216551725</v>
      </c>
      <c r="D120" s="11">
        <f aca="true" t="shared" si="31" ref="D120:K120">C120</f>
        <v>82456.15216551725</v>
      </c>
      <c r="E120" s="11">
        <f t="shared" si="31"/>
        <v>82456.15216551725</v>
      </c>
      <c r="F120" s="11">
        <f t="shared" si="31"/>
        <v>82456.15216551725</v>
      </c>
      <c r="G120" s="11">
        <f t="shared" si="31"/>
        <v>82456.15216551725</v>
      </c>
      <c r="H120" s="11">
        <f t="shared" si="31"/>
        <v>82456.15216551725</v>
      </c>
      <c r="I120" s="11">
        <f t="shared" si="31"/>
        <v>82456.15216551725</v>
      </c>
      <c r="J120" s="11">
        <f t="shared" si="31"/>
        <v>82456.15216551725</v>
      </c>
      <c r="K120" s="11">
        <f t="shared" si="31"/>
        <v>82456.15216551725</v>
      </c>
    </row>
    <row r="121" spans="1:11" ht="12.75">
      <c r="A121" s="13" t="s">
        <v>30</v>
      </c>
      <c r="B121" s="11">
        <f>(B120*$D107)-(B118/1000)*$D114/1000</f>
        <v>27210.530214620692</v>
      </c>
      <c r="C121" s="11">
        <f>(B121)*(1-$B$9)</f>
        <v>26938.424912474486</v>
      </c>
      <c r="D121" s="11">
        <f aca="true" t="shared" si="32" ref="D121:K121">(C121)*(1-$B$9)</f>
        <v>26669.04066334974</v>
      </c>
      <c r="E121" s="11">
        <f t="shared" si="32"/>
        <v>26402.350256716243</v>
      </c>
      <c r="F121" s="11">
        <f t="shared" si="32"/>
        <v>26138.326754149082</v>
      </c>
      <c r="G121" s="11">
        <f t="shared" si="32"/>
        <v>25876.94348660759</v>
      </c>
      <c r="H121" s="11">
        <f t="shared" si="32"/>
        <v>25618.174051741513</v>
      </c>
      <c r="I121" s="11">
        <f t="shared" si="32"/>
        <v>25361.992311224098</v>
      </c>
      <c r="J121" s="11">
        <f t="shared" si="32"/>
        <v>25108.372388111857</v>
      </c>
      <c r="K121" s="11">
        <f t="shared" si="32"/>
        <v>24857.28866423074</v>
      </c>
    </row>
    <row r="122" spans="1:11" ht="12.75">
      <c r="A122" t="s">
        <v>31</v>
      </c>
      <c r="B122" s="14">
        <f>B121/(B120-(B118/1000)*$D114/1000)</f>
        <v>0.46478873239436613</v>
      </c>
      <c r="C122" s="14">
        <f aca="true" t="shared" si="33" ref="C122:K122">B122*(1-$B110)</f>
        <v>0.46014084507042247</v>
      </c>
      <c r="D122" s="14">
        <f t="shared" si="33"/>
        <v>0.45553943661971824</v>
      </c>
      <c r="E122" s="14">
        <f t="shared" si="33"/>
        <v>0.45098404225352107</v>
      </c>
      <c r="F122" s="14">
        <f t="shared" si="33"/>
        <v>0.44647420183098585</v>
      </c>
      <c r="G122" s="14">
        <f t="shared" si="33"/>
        <v>0.442009459812676</v>
      </c>
      <c r="H122" s="14">
        <f t="shared" si="33"/>
        <v>0.4375893652145492</v>
      </c>
      <c r="I122" s="14">
        <f t="shared" si="33"/>
        <v>0.43321347156240375</v>
      </c>
      <c r="J122" s="14">
        <f t="shared" si="33"/>
        <v>0.4288813368467797</v>
      </c>
      <c r="K122" s="14">
        <f t="shared" si="33"/>
        <v>0.4245925234783119</v>
      </c>
    </row>
    <row r="123" spans="1:11" ht="12.75">
      <c r="A123" t="s">
        <v>32</v>
      </c>
      <c r="B123" s="11">
        <f>B121/$D112</f>
        <v>34013.16276827586</v>
      </c>
      <c r="C123" s="11">
        <f aca="true" t="shared" si="34" ref="C123:K123">C121/$D112</f>
        <v>33673.031140593106</v>
      </c>
      <c r="D123" s="11">
        <f t="shared" si="34"/>
        <v>33336.300829187174</v>
      </c>
      <c r="E123" s="11">
        <f t="shared" si="34"/>
        <v>33002.9378208953</v>
      </c>
      <c r="F123" s="11">
        <f t="shared" si="34"/>
        <v>32672.908442686352</v>
      </c>
      <c r="G123" s="11">
        <f t="shared" si="34"/>
        <v>32346.179358259487</v>
      </c>
      <c r="H123" s="11">
        <f t="shared" si="34"/>
        <v>32022.71756467689</v>
      </c>
      <c r="I123" s="11">
        <f t="shared" si="34"/>
        <v>31702.49038903012</v>
      </c>
      <c r="J123" s="11">
        <f t="shared" si="34"/>
        <v>31385.46548513982</v>
      </c>
      <c r="K123" s="11">
        <f t="shared" si="34"/>
        <v>31071.61083028842</v>
      </c>
    </row>
    <row r="124" spans="1:11" ht="12.75">
      <c r="A124" t="s">
        <v>33</v>
      </c>
      <c r="B124" s="12">
        <f aca="true" t="shared" si="35" ref="B124:K124">B123*B148</f>
        <v>210881.60916331035</v>
      </c>
      <c r="C124" s="12">
        <f t="shared" si="35"/>
        <v>237058.13922977546</v>
      </c>
      <c r="D124" s="12">
        <f t="shared" si="35"/>
        <v>241354.81800331516</v>
      </c>
      <c r="E124" s="12">
        <f t="shared" si="35"/>
        <v>242901.6223617894</v>
      </c>
      <c r="F124" s="12">
        <f t="shared" si="35"/>
        <v>245046.81332014763</v>
      </c>
      <c r="G124" s="12">
        <f t="shared" si="35"/>
        <v>247771.73388426768</v>
      </c>
      <c r="H124" s="12">
        <f t="shared" si="35"/>
        <v>250097.4241801265</v>
      </c>
      <c r="I124" s="12">
        <f t="shared" si="35"/>
        <v>252668.84840057004</v>
      </c>
      <c r="J124" s="12">
        <f t="shared" si="35"/>
        <v>255163.83439418676</v>
      </c>
      <c r="K124" s="12">
        <f t="shared" si="35"/>
        <v>257583.65378309097</v>
      </c>
    </row>
    <row r="125" spans="1:11" ht="12.75">
      <c r="A125" t="s">
        <v>34</v>
      </c>
      <c r="B125" s="15">
        <f aca="true" t="shared" si="36" ref="B125:K125">-B120*B148</f>
        <v>-511228.143426207</v>
      </c>
      <c r="C125" s="15">
        <f t="shared" si="36"/>
        <v>-580491.3112452414</v>
      </c>
      <c r="D125" s="15">
        <f t="shared" si="36"/>
        <v>-596982.541678345</v>
      </c>
      <c r="E125" s="15">
        <f t="shared" si="36"/>
        <v>-606877.279938207</v>
      </c>
      <c r="F125" s="15">
        <f t="shared" si="36"/>
        <v>-618421.1412413794</v>
      </c>
      <c r="G125" s="15">
        <f t="shared" si="36"/>
        <v>-631614.1255878622</v>
      </c>
      <c r="H125" s="15">
        <f t="shared" si="36"/>
        <v>-643982.5484126897</v>
      </c>
      <c r="I125" s="15">
        <f t="shared" si="36"/>
        <v>-657175.5327591725</v>
      </c>
      <c r="J125" s="15">
        <f t="shared" si="36"/>
        <v>-670368.5171056554</v>
      </c>
      <c r="K125" s="15">
        <f t="shared" si="36"/>
        <v>-683561.501452138</v>
      </c>
    </row>
    <row r="126" spans="1:11" ht="12.75">
      <c r="A126" t="s">
        <v>35</v>
      </c>
      <c r="B126" s="15">
        <f>B118*(-$D104)</f>
        <v>-136656</v>
      </c>
      <c r="C126" s="15">
        <f aca="true" t="shared" si="37" ref="C126:K126">C118*(-$D104)</f>
        <v>-135289.44</v>
      </c>
      <c r="D126" s="15">
        <f t="shared" si="37"/>
        <v>-133936.54559999998</v>
      </c>
      <c r="E126" s="15">
        <f t="shared" si="37"/>
        <v>-132597.180144</v>
      </c>
      <c r="F126" s="15">
        <f t="shared" si="37"/>
        <v>-131271.20834256</v>
      </c>
      <c r="G126" s="15">
        <f t="shared" si="37"/>
        <v>-129958.4962591344</v>
      </c>
      <c r="H126" s="15">
        <f t="shared" si="37"/>
        <v>-128658.91129654305</v>
      </c>
      <c r="I126" s="15">
        <f t="shared" si="37"/>
        <v>-127372.32218357762</v>
      </c>
      <c r="J126" s="15">
        <f t="shared" si="37"/>
        <v>-126098.59896174185</v>
      </c>
      <c r="K126" s="15">
        <f t="shared" si="37"/>
        <v>-124837.61297212442</v>
      </c>
    </row>
    <row r="127" spans="1:11" ht="12.75">
      <c r="A127" s="13" t="s">
        <v>78</v>
      </c>
      <c r="B127" s="15">
        <f>-$D109</f>
        <v>-1439.01615</v>
      </c>
      <c r="C127" s="15">
        <f aca="true" t="shared" si="38" ref="C127:K127">-$D109</f>
        <v>-1439.01615</v>
      </c>
      <c r="D127" s="15">
        <f t="shared" si="38"/>
        <v>-1439.01615</v>
      </c>
      <c r="E127" s="15">
        <f t="shared" si="38"/>
        <v>-1439.01615</v>
      </c>
      <c r="F127" s="15">
        <f t="shared" si="38"/>
        <v>-1439.01615</v>
      </c>
      <c r="G127" s="15">
        <f t="shared" si="38"/>
        <v>-1439.01615</v>
      </c>
      <c r="H127" s="15">
        <f t="shared" si="38"/>
        <v>-1439.01615</v>
      </c>
      <c r="I127" s="15">
        <f t="shared" si="38"/>
        <v>-1439.01615</v>
      </c>
      <c r="J127" s="15">
        <f t="shared" si="38"/>
        <v>-1439.01615</v>
      </c>
      <c r="K127" s="15">
        <f t="shared" si="38"/>
        <v>-1439.01615</v>
      </c>
    </row>
    <row r="128" spans="1:11" ht="12.75">
      <c r="A128" s="13" t="s">
        <v>83</v>
      </c>
      <c r="B128" s="15">
        <f>-'Summary Page'!$B$30</f>
        <v>-4300</v>
      </c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>
      <c r="A129" s="13" t="s">
        <v>86</v>
      </c>
      <c r="B129" s="15">
        <f>-'Summary Page'!$B$31</f>
        <v>-17000</v>
      </c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3" t="s">
        <v>85</v>
      </c>
      <c r="B130" s="15">
        <f>-'Summary Page'!$B$32</f>
        <v>-7500</v>
      </c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" hidden="1">
      <c r="A131" s="13" t="s">
        <v>93</v>
      </c>
      <c r="B131" s="113">
        <f>IF(B103&gt;=1000,1000*B104*B107,B103*B104*B107)</f>
        <v>0</v>
      </c>
      <c r="C131" s="113">
        <f>IF(($B131/$B107)-B131&gt;=0.1,((($B131/$B107)-$B131)/$B$7),0)</f>
        <v>0</v>
      </c>
      <c r="D131" s="113">
        <f>IF(($B131/$B107)-B131-C131&gt;=0.1,((($B131/$B107)-$B131)/$B$7),0)</f>
        <v>0</v>
      </c>
      <c r="E131" s="113">
        <f>IF(($B131/$B107)-B131-C131-D131&gt;=0.1,((($B131/$B107)-$B131)/$B$7),0)</f>
        <v>0</v>
      </c>
      <c r="F131" s="113">
        <f>IF(($B131/$B107)-B131-C131-D131-E131&gt;=0.1,((($B131/$B107)-$B131)/$B$7),0)</f>
        <v>0</v>
      </c>
      <c r="G131" s="113">
        <f>IF(($B131/$B107)-B131-C131-D131-E131-F131&gt;=0.1,((($B131/$B107)-$B131)/$B$7),0)</f>
        <v>0</v>
      </c>
      <c r="H131" s="113">
        <f>IF(($B131/$B107)-B131-C131-D131-E131-F131-G131&gt;=0.1,((($B131/$B107)-$B131)/$B$7),0)</f>
        <v>0</v>
      </c>
      <c r="I131" s="113">
        <f>IF(($B131/$B107)-B131-C131-D131-E131-F131-G131-H131&gt;=0.1,((($B131/$B107)-$B131)/$B$7),0)</f>
        <v>0</v>
      </c>
      <c r="J131" s="113">
        <f>IF(($B131/$B107)-B131-C131-D131-E131-F131-G131-H131-I131&gt;=0.1,((($B131/$B107)-$B131)/$B$7),0)</f>
        <v>0</v>
      </c>
      <c r="K131" s="113">
        <f>IF(($B131/$B107)-B131-C131-D131-E131-F131-G131-H131-I131-J131&gt;=0.1,((($B131/$B107)-$B131)/$B$7),0)</f>
        <v>0</v>
      </c>
    </row>
    <row r="132" spans="1:11" ht="12" hidden="1">
      <c r="A132" s="13" t="s">
        <v>94</v>
      </c>
      <c r="B132" s="113">
        <f>IF(AND(B103&gt;=0,B103&lt;=2000),(B103-1000)*B105*B107,1000*B105*B107)</f>
        <v>0</v>
      </c>
      <c r="C132" s="113">
        <f>IF(($B132/$B107)-B132&gt;=0.1,((($B132/$B107)-$B132)/$B$7),0)</f>
        <v>0</v>
      </c>
      <c r="D132" s="113">
        <f>IF(($B132/$B107)-B132-C132&gt;=0.1,((($B132/$B107)-$B132)/$B$7),0)</f>
        <v>0</v>
      </c>
      <c r="E132" s="113">
        <f>IF(($B132/$B107)-B132-C132-D132&gt;=0.1,((($B132/$B107)-$B132)/$B$7),0)</f>
        <v>0</v>
      </c>
      <c r="F132" s="113">
        <f>IF(($B132/$B107)-B132-C132-D132-E132&gt;=0.1,((($B132/$B107)-$B132)/$B$7),0)</f>
        <v>0</v>
      </c>
      <c r="G132" s="113">
        <f>IF(($B132/$B107)-B132-C132-D132-E132-F132&gt;=0.1,((($B132/$B107)-$B132)/$B$7),0)</f>
        <v>0</v>
      </c>
      <c r="H132" s="113">
        <f>IF(($B132/$B107)-B132-C132-D132-E132-F132-G132&gt;=0.1,((($B132/$B107)-$B132)/$B$7),0)</f>
        <v>0</v>
      </c>
      <c r="I132" s="113">
        <f>IF(($B132/$B107)-B132-C132-D132-E132-F132-G132-H132&gt;=0.1,((($B132/$B107)-$B132)/$B$7),0)</f>
        <v>0</v>
      </c>
      <c r="J132" s="113">
        <f>IF(($B132/$B107)-B132-C132-D132-E132-F132-G132-H132-I132&gt;=0.1,((($B132/$B107)-$B132)/$B$7),0)</f>
        <v>0</v>
      </c>
      <c r="K132" s="113">
        <f>IF(($B132/$B107)-B132-C132-D132-E132-F132-G132-H132-I132-J132&gt;=0.1,((($B132/$B107)-$B132)/$B$7),0)</f>
        <v>0</v>
      </c>
    </row>
    <row r="133" spans="1:11" ht="12" hidden="1">
      <c r="A133" s="13" t="s">
        <v>95</v>
      </c>
      <c r="B133" s="113">
        <f>IF(AND(B103&gt;=0,B103&lt;=3000),(B103-2000)*B106*B107,1000*B106*B107)</f>
        <v>0</v>
      </c>
      <c r="C133" s="113">
        <f>IF(($B133/$B107)-B133&gt;=0.1,((($B133/$B107)-$B133)/$B$7),0)</f>
        <v>0</v>
      </c>
      <c r="D133" s="113">
        <f>IF(($B133/$B107)-B133-C133&gt;=0.1,((($B133/$B107)-$B133)/$B$7),0)</f>
        <v>0</v>
      </c>
      <c r="E133" s="113">
        <f>IF(($B133/$B107)-B133-C133-D133&gt;=0.1,((($B133/$B107)-$B133)/$B$7),0)</f>
        <v>0</v>
      </c>
      <c r="F133" s="113">
        <f>IF(($B133/$B107)-B133-C133-D133-E133&gt;=0.1,((($B133/$B107)-$B133)/$B$7),0)</f>
        <v>0</v>
      </c>
      <c r="G133" s="113">
        <f>IF(($B133/$B107)-B133-C133-D133-E133-F133&gt;=0.1,((($B133/$B107)-$B133)/$B$7),0)</f>
        <v>0</v>
      </c>
      <c r="H133" s="113">
        <f>IF(($B133/$B107)-B133-C133-D133-E133-F133-G133&gt;=0.1,((($B133/$B107)-$B133)/$B$7),0)</f>
        <v>0</v>
      </c>
      <c r="I133" s="113">
        <f>IF(($B133/$B107)-B133-C133-D133-E133-F133-G133-H133&gt;=0.1,((($B133/$B107)-$B133)/$B$7),0)</f>
        <v>0</v>
      </c>
      <c r="J133" s="113">
        <f>IF(($B133/$B107)-B133-C133-D133-E133-F133-G133-H133-I133&gt;=0.1,((($B133/$B107)-$B133)/$B$7),0)</f>
        <v>0</v>
      </c>
      <c r="K133" s="113">
        <f>IF(($B133/$B107)-B133-C133-D133-E133-F133-G133-H133-I133-J133&gt;=0.1,((($B133/$B107)-$B133)/$B$7),0)</f>
        <v>0</v>
      </c>
    </row>
    <row r="134" spans="1:12" ht="12.75">
      <c r="A134" s="13" t="s">
        <v>96</v>
      </c>
      <c r="B134" s="12">
        <f aca="true" t="shared" si="39" ref="B134:K134">IF(B132&lt;=0,0,B132)+IF(B133&lt;=0,0,B133)+B131</f>
        <v>0</v>
      </c>
      <c r="C134" s="12">
        <f t="shared" si="39"/>
        <v>0</v>
      </c>
      <c r="D134" s="12">
        <f t="shared" si="39"/>
        <v>0</v>
      </c>
      <c r="E134" s="12">
        <f t="shared" si="39"/>
        <v>0</v>
      </c>
      <c r="F134" s="12">
        <f t="shared" si="39"/>
        <v>0</v>
      </c>
      <c r="G134" s="12">
        <f t="shared" si="39"/>
        <v>0</v>
      </c>
      <c r="H134" s="12">
        <f t="shared" si="39"/>
        <v>0</v>
      </c>
      <c r="I134" s="12">
        <f t="shared" si="39"/>
        <v>0</v>
      </c>
      <c r="J134" s="12">
        <f t="shared" si="39"/>
        <v>0</v>
      </c>
      <c r="K134" s="12">
        <f t="shared" si="39"/>
        <v>0</v>
      </c>
      <c r="L134" s="12"/>
    </row>
    <row r="135" spans="1:11" ht="12.75">
      <c r="A135" t="s">
        <v>36</v>
      </c>
      <c r="B135" s="12">
        <f aca="true" t="shared" si="40" ref="B135:K135">IF($B$12="yes",(B134*0.2),0)</f>
        <v>0</v>
      </c>
      <c r="C135" s="12">
        <f t="shared" si="40"/>
        <v>0</v>
      </c>
      <c r="D135" s="12">
        <f t="shared" si="40"/>
        <v>0</v>
      </c>
      <c r="E135" s="12">
        <f t="shared" si="40"/>
        <v>0</v>
      </c>
      <c r="F135" s="12">
        <f t="shared" si="40"/>
        <v>0</v>
      </c>
      <c r="G135" s="12">
        <f t="shared" si="40"/>
        <v>0</v>
      </c>
      <c r="H135" s="12">
        <f t="shared" si="40"/>
        <v>0</v>
      </c>
      <c r="I135" s="12">
        <f t="shared" si="40"/>
        <v>0</v>
      </c>
      <c r="J135" s="12">
        <f t="shared" si="40"/>
        <v>0</v>
      </c>
      <c r="K135" s="12">
        <f t="shared" si="40"/>
        <v>0</v>
      </c>
    </row>
    <row r="136" spans="1:4" ht="12.75" hidden="1">
      <c r="A136" t="s">
        <v>54</v>
      </c>
      <c r="B136" s="12">
        <f>((D102)-SUM(B134:K135))*D105</f>
        <v>237589</v>
      </c>
      <c r="C136" s="12"/>
      <c r="D136" s="12"/>
    </row>
    <row r="137" spans="1:4" ht="12.75">
      <c r="A137" t="s">
        <v>53</v>
      </c>
      <c r="B137" s="12">
        <f>MIN(B136:B136)</f>
        <v>237589</v>
      </c>
      <c r="C137" s="12"/>
      <c r="D137" s="12"/>
    </row>
    <row r="138" spans="1:13" ht="12.75">
      <c r="A138" t="s">
        <v>38</v>
      </c>
      <c r="B138" s="16">
        <f>-$D102+B119+B124+B125+B126+B127+B128+B129+B130+B134+B135+B137</f>
        <v>-1778815.7984128967</v>
      </c>
      <c r="C138" s="16">
        <f aca="true" t="shared" si="41" ref="C138:K138">C119+C124+C125+C126+C127+C134+C135+C137</f>
        <v>354667.04600413423</v>
      </c>
      <c r="D138" s="16">
        <f t="shared" si="41"/>
        <v>352006.70975143235</v>
      </c>
      <c r="E138" s="16">
        <f t="shared" si="41"/>
        <v>353259.6392587737</v>
      </c>
      <c r="F138" s="16">
        <f t="shared" si="41"/>
        <v>353529.40134806564</v>
      </c>
      <c r="G138" s="16">
        <f t="shared" si="41"/>
        <v>352798.26639599487</v>
      </c>
      <c r="H138" s="16">
        <f t="shared" si="41"/>
        <v>352561.89290060283</v>
      </c>
      <c r="I138" s="16">
        <f t="shared" si="41"/>
        <v>351817.0623444101</v>
      </c>
      <c r="J138" s="16">
        <f t="shared" si="41"/>
        <v>351067.11104673846</v>
      </c>
      <c r="K138" s="16">
        <f t="shared" si="41"/>
        <v>350314.26428570284</v>
      </c>
      <c r="L138" s="16"/>
      <c r="M138" s="16"/>
    </row>
    <row r="139" spans="1:11" ht="12.75">
      <c r="A139" t="s">
        <v>39</v>
      </c>
      <c r="B139" s="16">
        <f>B138</f>
        <v>-1778815.7984128967</v>
      </c>
      <c r="C139" s="16">
        <f>B139+C138</f>
        <v>-1424148.7524087625</v>
      </c>
      <c r="D139" s="16">
        <f aca="true" t="shared" si="42" ref="D139:K139">C139+D138</f>
        <v>-1072142.0426573302</v>
      </c>
      <c r="E139" s="16">
        <f t="shared" si="42"/>
        <v>-718882.4033985564</v>
      </c>
      <c r="F139" s="16">
        <f t="shared" si="42"/>
        <v>-365353.00205049076</v>
      </c>
      <c r="G139" s="16">
        <f t="shared" si="42"/>
        <v>-12554.73565449589</v>
      </c>
      <c r="H139" s="16">
        <f t="shared" si="42"/>
        <v>340007.15724610694</v>
      </c>
      <c r="I139" s="16">
        <f t="shared" si="42"/>
        <v>691824.219590517</v>
      </c>
      <c r="J139" s="16">
        <f t="shared" si="42"/>
        <v>1042891.3306372555</v>
      </c>
      <c r="K139" s="16">
        <f t="shared" si="42"/>
        <v>1393205.5949229584</v>
      </c>
    </row>
    <row r="140" spans="2:11" ht="12.75">
      <c r="B140" s="17"/>
      <c r="C140" s="17"/>
      <c r="D140" s="18"/>
      <c r="E140" s="18"/>
      <c r="F140" s="18"/>
      <c r="G140" s="19"/>
      <c r="H140" s="19"/>
      <c r="I140" s="17"/>
      <c r="J140" s="17"/>
      <c r="K140" s="17"/>
    </row>
    <row r="141" spans="1:11" ht="12.75">
      <c r="A141" s="20" t="s">
        <v>40</v>
      </c>
      <c r="B141" s="21">
        <f>(NPV($B$8,C138:K138))+$B$138</f>
        <v>727226.6163264993</v>
      </c>
      <c r="C141" s="18"/>
      <c r="E141" s="18"/>
      <c r="F141" s="18"/>
      <c r="G141" s="19"/>
      <c r="H141" s="19"/>
      <c r="I141" s="17"/>
      <c r="J141" s="17"/>
      <c r="K141" s="17"/>
    </row>
    <row r="142" spans="1:11" ht="12.75">
      <c r="A142" s="22" t="s">
        <v>41</v>
      </c>
      <c r="B142" s="23">
        <f>IRR(B138:K138)</f>
        <v>0.13474104060740433</v>
      </c>
      <c r="C142" s="18"/>
      <c r="D142" s="18"/>
      <c r="E142" s="18"/>
      <c r="F142" s="24"/>
      <c r="G142" s="19"/>
      <c r="H142" s="19"/>
      <c r="I142" s="17"/>
      <c r="J142" s="17"/>
      <c r="K142" s="17"/>
    </row>
    <row r="143" spans="1:11" ht="12.75">
      <c r="A143" s="25" t="s">
        <v>42</v>
      </c>
      <c r="B143" s="26">
        <f>COUNTIF(B139:K139,"&lt;0")+1-INDEX(B139:K139,COUNTIF(B139:K139,"&lt;0")+1)/INDEX(B138:K138,COUNTIF(B139:K139,"&lt;0")+1)</f>
        <v>6.03561001885713</v>
      </c>
      <c r="C143" s="18"/>
      <c r="E143" s="18"/>
      <c r="F143" s="18"/>
      <c r="G143" s="19"/>
      <c r="H143" s="19"/>
      <c r="I143" s="17"/>
      <c r="J143" s="17"/>
      <c r="K143" s="17"/>
    </row>
    <row r="144" spans="1:11" ht="12.75">
      <c r="A144" s="27"/>
      <c r="B144" s="28"/>
      <c r="C144" s="18"/>
      <c r="E144" s="18"/>
      <c r="F144" s="18"/>
      <c r="G144" s="19"/>
      <c r="H144" s="19"/>
      <c r="I144" s="17"/>
      <c r="J144" s="17"/>
      <c r="K144" s="17"/>
    </row>
    <row r="145" ht="12.75">
      <c r="A145" s="7"/>
    </row>
    <row r="146" spans="1:7" ht="12.75">
      <c r="A146" s="29" t="s">
        <v>43</v>
      </c>
      <c r="F146" s="11"/>
      <c r="G146" s="11"/>
    </row>
    <row r="147" spans="1:12" ht="12.75">
      <c r="A147" s="20" t="s">
        <v>26</v>
      </c>
      <c r="B147" s="30">
        <v>2010</v>
      </c>
      <c r="C147" s="30">
        <v>2011</v>
      </c>
      <c r="D147" s="30">
        <v>2012</v>
      </c>
      <c r="E147" s="30">
        <v>2013</v>
      </c>
      <c r="F147" s="30">
        <v>2014</v>
      </c>
      <c r="G147" s="30">
        <v>2015</v>
      </c>
      <c r="H147" s="30">
        <v>2016</v>
      </c>
      <c r="I147" s="30">
        <v>2017</v>
      </c>
      <c r="J147" s="30">
        <v>2018</v>
      </c>
      <c r="K147" s="30">
        <v>2019</v>
      </c>
      <c r="L147" s="31">
        <v>2020</v>
      </c>
    </row>
    <row r="148" spans="1:12" ht="12.75">
      <c r="A148" s="2" t="s">
        <v>44</v>
      </c>
      <c r="B148" s="32">
        <v>6.2</v>
      </c>
      <c r="C148" s="32">
        <v>7.04</v>
      </c>
      <c r="D148" s="32">
        <v>7.24</v>
      </c>
      <c r="E148" s="32">
        <v>7.36</v>
      </c>
      <c r="F148" s="32">
        <v>7.5</v>
      </c>
      <c r="G148" s="32">
        <v>7.66</v>
      </c>
      <c r="H148" s="32">
        <v>7.81</v>
      </c>
      <c r="I148" s="32">
        <v>7.97</v>
      </c>
      <c r="J148" s="32">
        <v>8.13</v>
      </c>
      <c r="K148" s="32">
        <v>8.29</v>
      </c>
      <c r="L148" s="33">
        <v>8.45</v>
      </c>
    </row>
    <row r="149" spans="1:12" ht="12.75">
      <c r="A149" s="6" t="s">
        <v>45</v>
      </c>
      <c r="B149" s="34">
        <f>$D108</f>
        <v>0.117969</v>
      </c>
      <c r="C149" s="34">
        <f aca="true" t="shared" si="43" ref="C149:K149">($D108)*(1+$B111)^B116</f>
        <v>0.12032838000000001</v>
      </c>
      <c r="D149" s="34">
        <f t="shared" si="43"/>
        <v>0.1227349476</v>
      </c>
      <c r="E149" s="34">
        <f t="shared" si="43"/>
        <v>0.125189646552</v>
      </c>
      <c r="F149" s="34">
        <f t="shared" si="43"/>
        <v>0.12769343948304</v>
      </c>
      <c r="G149" s="34">
        <f t="shared" si="43"/>
        <v>0.1302473082727008</v>
      </c>
      <c r="H149" s="34">
        <f t="shared" si="43"/>
        <v>0.13285225443815482</v>
      </c>
      <c r="I149" s="34">
        <f t="shared" si="43"/>
        <v>0.1355092995269179</v>
      </c>
      <c r="J149" s="34">
        <f t="shared" si="43"/>
        <v>0.13821948551745628</v>
      </c>
      <c r="K149" s="34">
        <f t="shared" si="43"/>
        <v>0.1409838752278054</v>
      </c>
      <c r="L149" s="107">
        <f>K149*(1+$B$10)</f>
        <v>0.1438035527323615</v>
      </c>
    </row>
    <row r="150" spans="1:12" ht="12.75">
      <c r="A150" s="92"/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34"/>
    </row>
    <row r="151" spans="1:12" ht="12.75">
      <c r="A151" s="92"/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34"/>
    </row>
    <row r="152" spans="1:13" ht="12.75">
      <c r="A152" s="38" t="s">
        <v>0</v>
      </c>
      <c r="B152" s="81" t="str">
        <f>'Summary Page'!A10</f>
        <v>Fuel Cell - CHP </v>
      </c>
      <c r="C152" s="38" t="s">
        <v>1</v>
      </c>
      <c r="D152" s="41">
        <f>(D153*B153)-B178-B179-B180</f>
        <v>2936198.2905714284</v>
      </c>
      <c r="E152" s="1"/>
      <c r="L152" s="3"/>
      <c r="M152" s="3"/>
    </row>
    <row r="153" spans="1:13" ht="12.75">
      <c r="A153" s="38" t="s">
        <v>3</v>
      </c>
      <c r="B153" s="42">
        <f>VLOOKUP(B152,'Summary Page'!$A$7:$K$19,2,0)</f>
        <v>400</v>
      </c>
      <c r="C153" s="38" t="s">
        <v>4</v>
      </c>
      <c r="D153" s="41">
        <f>VLOOKUP(B152,'Summary Page'!$A$7:$K$19,3,0)</f>
        <v>7268.49572642857</v>
      </c>
      <c r="E153" s="1"/>
      <c r="J153" s="3"/>
      <c r="L153" s="3"/>
      <c r="M153" s="3"/>
    </row>
    <row r="154" spans="1:13" ht="12.75">
      <c r="A154" s="38" t="s">
        <v>90</v>
      </c>
      <c r="B154" s="41">
        <f>VLOOKUP(B152,'Summary Page'!$A$7:$K$19,11,0)</f>
        <v>0</v>
      </c>
      <c r="C154" s="82" t="s">
        <v>6</v>
      </c>
      <c r="D154" s="83">
        <f>VLOOKUP(B152,'Summary Page'!$A$7:$K$19,4,0)</f>
        <v>0.03</v>
      </c>
      <c r="E154" s="1"/>
      <c r="J154" s="3"/>
      <c r="L154" s="3"/>
      <c r="M154" s="3"/>
    </row>
    <row r="155" spans="1:13" ht="12.75">
      <c r="A155" s="38" t="s">
        <v>91</v>
      </c>
      <c r="B155" s="41">
        <f>(VLOOKUP(B152,'Summary Page'!$A$7:$K$19,11,0))*'Summary Page'!$B$39</f>
        <v>0</v>
      </c>
      <c r="C155" s="85" t="s">
        <v>8</v>
      </c>
      <c r="D155" s="86">
        <f>VLOOKUP(B152,'Summary Page'!$A$7:$K$19,5,0)</f>
        <v>0.3</v>
      </c>
      <c r="E155" s="5"/>
      <c r="J155" s="3"/>
      <c r="L155" s="3"/>
      <c r="M155" s="3"/>
    </row>
    <row r="156" spans="1:13" ht="12.75">
      <c r="A156" s="38" t="s">
        <v>92</v>
      </c>
      <c r="B156" s="41">
        <f>(VLOOKUP(B152,'Summary Page'!$A$7:$K$19,11,0))*'Summary Page'!$B$40</f>
        <v>0</v>
      </c>
      <c r="C156" s="85" t="s">
        <v>10</v>
      </c>
      <c r="D156" s="86">
        <f>VLOOKUP(B152,'Summary Page'!$A$7:$K$19,8,0)</f>
        <v>0.412</v>
      </c>
      <c r="E156" s="5"/>
      <c r="J156" s="3"/>
      <c r="L156" s="3"/>
      <c r="M156" s="3"/>
    </row>
    <row r="157" spans="1:13" ht="12.75">
      <c r="A157" s="39" t="s">
        <v>7</v>
      </c>
      <c r="B157" s="84">
        <f>'Summary Page'!$B$23</f>
        <v>0.25</v>
      </c>
      <c r="C157" s="85" t="s">
        <v>13</v>
      </c>
      <c r="D157" s="86">
        <f>VLOOKUP(B152,'Summary Page'!$A$7:$K$19,9,0)</f>
        <v>0.62</v>
      </c>
      <c r="J157" s="3"/>
      <c r="L157" s="3"/>
      <c r="M157" s="3"/>
    </row>
    <row r="158" spans="1:13" ht="12.75">
      <c r="A158" s="39" t="s">
        <v>9</v>
      </c>
      <c r="B158" s="87">
        <f>'Summary Page'!$B$24</f>
        <v>5</v>
      </c>
      <c r="C158" s="40" t="s">
        <v>15</v>
      </c>
      <c r="D158" s="88">
        <f>'Summary Page'!$B$27</f>
        <v>0.117969</v>
      </c>
      <c r="J158" s="3"/>
      <c r="L158" s="3"/>
      <c r="M158" s="3"/>
    </row>
    <row r="159" spans="1:13" ht="12.75">
      <c r="A159" s="38" t="s">
        <v>12</v>
      </c>
      <c r="B159" s="43">
        <f>'Summary Page'!$B$26</f>
        <v>0.05</v>
      </c>
      <c r="C159" s="38" t="s">
        <v>17</v>
      </c>
      <c r="D159" s="41">
        <f>'Summary Page'!$B$29</f>
        <v>1439.01615</v>
      </c>
      <c r="J159" s="3"/>
      <c r="L159" s="3"/>
      <c r="M159" s="3"/>
    </row>
    <row r="160" spans="1:13" ht="12.75">
      <c r="A160" s="38" t="s">
        <v>14</v>
      </c>
      <c r="B160" s="43">
        <f>'Summary Page'!$B$35</f>
        <v>0.01</v>
      </c>
      <c r="C160" s="38" t="s">
        <v>19</v>
      </c>
      <c r="D160" s="42">
        <f>'Summary Page'!$B$34</f>
        <v>8760</v>
      </c>
      <c r="F160" s="13"/>
      <c r="J160" s="3"/>
      <c r="L160" s="3"/>
      <c r="M160" s="3"/>
    </row>
    <row r="161" spans="1:13" ht="12.75">
      <c r="A161" s="39" t="s">
        <v>16</v>
      </c>
      <c r="B161" s="43">
        <f>'Summary Page'!$B$28</f>
        <v>0.02</v>
      </c>
      <c r="C161" s="38" t="s">
        <v>20</v>
      </c>
      <c r="D161" s="90">
        <f>'Summary Page'!$B$33</f>
        <v>6.2</v>
      </c>
      <c r="J161" s="3"/>
      <c r="L161" s="3"/>
      <c r="M161" s="3"/>
    </row>
    <row r="162" spans="1:13" ht="12.75">
      <c r="A162" s="39" t="s">
        <v>18</v>
      </c>
      <c r="B162" s="43">
        <f>VLOOKUP(B152,'Summary Page'!$A$7:$K$19,10,0)</f>
        <v>0.8</v>
      </c>
      <c r="C162" s="38" t="s">
        <v>77</v>
      </c>
      <c r="D162" s="84">
        <f>'Summary Page'!$B$36</f>
        <v>0.8</v>
      </c>
      <c r="J162" s="3"/>
      <c r="L162" s="3"/>
      <c r="M162" s="3"/>
    </row>
    <row r="163" spans="1:13" ht="12.75">
      <c r="A163" s="39" t="s">
        <v>22</v>
      </c>
      <c r="B163" s="89" t="str">
        <f>'Summary Page'!$B$25</f>
        <v>Yes</v>
      </c>
      <c r="C163" s="39" t="s">
        <v>24</v>
      </c>
      <c r="D163" s="91">
        <f>D164/D156</f>
        <v>8281.895631067962</v>
      </c>
      <c r="L163" s="3"/>
      <c r="M163" s="3"/>
    </row>
    <row r="164" spans="3:13" ht="12.75">
      <c r="C164" s="39" t="s">
        <v>25</v>
      </c>
      <c r="D164" s="91">
        <f>'Summary Page'!$B$37</f>
        <v>3412.141</v>
      </c>
      <c r="L164" s="3"/>
      <c r="M164" s="3"/>
    </row>
    <row r="165" spans="5:13" ht="12.75">
      <c r="E165" s="9"/>
      <c r="F165" s="9"/>
      <c r="G165" s="9"/>
      <c r="L165" s="3"/>
      <c r="M165" s="3"/>
    </row>
    <row r="166" spans="1:11" ht="12.75">
      <c r="A166" s="10" t="s">
        <v>26</v>
      </c>
      <c r="B166" s="10">
        <v>1</v>
      </c>
      <c r="C166" s="10">
        <v>2</v>
      </c>
      <c r="D166" s="10">
        <v>3</v>
      </c>
      <c r="E166" s="10">
        <v>4</v>
      </c>
      <c r="F166" s="10">
        <v>5</v>
      </c>
      <c r="G166" s="10">
        <v>6</v>
      </c>
      <c r="H166" s="10">
        <v>7</v>
      </c>
      <c r="I166" s="10">
        <v>8</v>
      </c>
      <c r="J166" s="10">
        <v>9</v>
      </c>
      <c r="K166" s="10">
        <v>10</v>
      </c>
    </row>
    <row r="168" spans="1:11" ht="12.75">
      <c r="A168" t="s">
        <v>27</v>
      </c>
      <c r="B168" s="11">
        <f>($B153*$B162*$D160)</f>
        <v>2803200</v>
      </c>
      <c r="C168" s="11">
        <f aca="true" t="shared" si="44" ref="C168:K168">B168*(1-$B$160)</f>
        <v>2775168</v>
      </c>
      <c r="D168" s="11">
        <f t="shared" si="44"/>
        <v>2747416.32</v>
      </c>
      <c r="E168" s="11">
        <f t="shared" si="44"/>
        <v>2719942.1568</v>
      </c>
      <c r="F168" s="11">
        <f t="shared" si="44"/>
        <v>2692742.735232</v>
      </c>
      <c r="G168" s="11">
        <f t="shared" si="44"/>
        <v>2665815.30787968</v>
      </c>
      <c r="H168" s="11">
        <f t="shared" si="44"/>
        <v>2639157.154800883</v>
      </c>
      <c r="I168" s="11">
        <f t="shared" si="44"/>
        <v>2612765.583252874</v>
      </c>
      <c r="J168" s="11">
        <f t="shared" si="44"/>
        <v>2586637.9274203456</v>
      </c>
      <c r="K168" s="11">
        <f t="shared" si="44"/>
        <v>2560771.548146142</v>
      </c>
    </row>
    <row r="169" spans="1:11" ht="12.75">
      <c r="A169" t="s">
        <v>28</v>
      </c>
      <c r="B169" s="12">
        <f aca="true" t="shared" si="45" ref="B169:K169">B168*B200</f>
        <v>330690.7008</v>
      </c>
      <c r="C169" s="12">
        <f t="shared" si="45"/>
        <v>333931.46966784005</v>
      </c>
      <c r="D169" s="12">
        <f t="shared" si="45"/>
        <v>337203.99807058484</v>
      </c>
      <c r="E169" s="12">
        <f t="shared" si="45"/>
        <v>340508.59725167655</v>
      </c>
      <c r="F169" s="12">
        <f t="shared" si="45"/>
        <v>343845.5815047429</v>
      </c>
      <c r="G169" s="12">
        <f t="shared" si="45"/>
        <v>347215.2682034895</v>
      </c>
      <c r="H169" s="12">
        <f t="shared" si="45"/>
        <v>350617.97783188365</v>
      </c>
      <c r="I169" s="12">
        <f t="shared" si="45"/>
        <v>354054.03401463607</v>
      </c>
      <c r="J169" s="12">
        <f t="shared" si="45"/>
        <v>357523.7635479796</v>
      </c>
      <c r="K169" s="12">
        <f t="shared" si="45"/>
        <v>361027.4964307498</v>
      </c>
    </row>
    <row r="170" spans="1:11" ht="12.75">
      <c r="A170" t="s">
        <v>29</v>
      </c>
      <c r="B170" s="11">
        <f>(D163*B168)/1000000</f>
        <v>23215.809833009713</v>
      </c>
      <c r="C170" s="11">
        <f>B170</f>
        <v>23215.809833009713</v>
      </c>
      <c r="D170" s="11">
        <f aca="true" t="shared" si="46" ref="D170:K170">C170</f>
        <v>23215.809833009713</v>
      </c>
      <c r="E170" s="11">
        <f t="shared" si="46"/>
        <v>23215.809833009713</v>
      </c>
      <c r="F170" s="11">
        <f t="shared" si="46"/>
        <v>23215.809833009713</v>
      </c>
      <c r="G170" s="11">
        <f t="shared" si="46"/>
        <v>23215.809833009713</v>
      </c>
      <c r="H170" s="11">
        <f t="shared" si="46"/>
        <v>23215.809833009713</v>
      </c>
      <c r="I170" s="11">
        <f t="shared" si="46"/>
        <v>23215.809833009713</v>
      </c>
      <c r="J170" s="11">
        <f t="shared" si="46"/>
        <v>23215.809833009713</v>
      </c>
      <c r="K170" s="11">
        <f t="shared" si="46"/>
        <v>23215.809833009713</v>
      </c>
    </row>
    <row r="171" spans="1:11" ht="12.75">
      <c r="A171" s="13" t="s">
        <v>30</v>
      </c>
      <c r="B171" s="11">
        <f>(B170*$D157)-(B168/1000)*$D164/1000</f>
        <v>4828.888445266022</v>
      </c>
      <c r="C171" s="11">
        <f>(B171)*(1-$B$9)</f>
        <v>4780.599560813362</v>
      </c>
      <c r="D171" s="11">
        <f aca="true" t="shared" si="47" ref="D171:K171">(C171)*(1-$B$9)</f>
        <v>4732.793565205228</v>
      </c>
      <c r="E171" s="11">
        <f t="shared" si="47"/>
        <v>4685.465629553176</v>
      </c>
      <c r="F171" s="11">
        <f t="shared" si="47"/>
        <v>4638.610973257644</v>
      </c>
      <c r="G171" s="11">
        <f t="shared" si="47"/>
        <v>4592.224863525068</v>
      </c>
      <c r="H171" s="11">
        <f t="shared" si="47"/>
        <v>4546.302614889817</v>
      </c>
      <c r="I171" s="11">
        <f t="shared" si="47"/>
        <v>4500.839588740919</v>
      </c>
      <c r="J171" s="11">
        <f t="shared" si="47"/>
        <v>4455.8311928535095</v>
      </c>
      <c r="K171" s="11">
        <f t="shared" si="47"/>
        <v>4411.272880924975</v>
      </c>
    </row>
    <row r="172" spans="1:11" ht="12.75">
      <c r="A172" t="s">
        <v>31</v>
      </c>
      <c r="B172" s="14">
        <f>B171/(B170-(B168/1000)*$D164/1000)</f>
        <v>0.35374149659863957</v>
      </c>
      <c r="C172" s="14">
        <f aca="true" t="shared" si="48" ref="C172:K172">B172*(1-$B160)</f>
        <v>0.35020408163265315</v>
      </c>
      <c r="D172" s="14">
        <f t="shared" si="48"/>
        <v>0.3467020408163266</v>
      </c>
      <c r="E172" s="14">
        <f t="shared" si="48"/>
        <v>0.34323502040816334</v>
      </c>
      <c r="F172" s="14">
        <f t="shared" si="48"/>
        <v>0.3398026702040817</v>
      </c>
      <c r="G172" s="14">
        <f t="shared" si="48"/>
        <v>0.3364046435020409</v>
      </c>
      <c r="H172" s="14">
        <f t="shared" si="48"/>
        <v>0.3330405970670205</v>
      </c>
      <c r="I172" s="14">
        <f t="shared" si="48"/>
        <v>0.3297101910963503</v>
      </c>
      <c r="J172" s="14">
        <f t="shared" si="48"/>
        <v>0.3264130891853868</v>
      </c>
      <c r="K172" s="14">
        <f t="shared" si="48"/>
        <v>0.32314895829353296</v>
      </c>
    </row>
    <row r="173" spans="1:11" ht="12.75">
      <c r="A173" t="s">
        <v>32</v>
      </c>
      <c r="B173" s="11">
        <f>B171/$D162</f>
        <v>6036.110556582527</v>
      </c>
      <c r="C173" s="11">
        <f aca="true" t="shared" si="49" ref="C173:K173">C171/$D162</f>
        <v>5975.749451016702</v>
      </c>
      <c r="D173" s="11">
        <f t="shared" si="49"/>
        <v>5915.991956506535</v>
      </c>
      <c r="E173" s="11">
        <f t="shared" si="49"/>
        <v>5856.83203694147</v>
      </c>
      <c r="F173" s="11">
        <f t="shared" si="49"/>
        <v>5798.263716572055</v>
      </c>
      <c r="G173" s="11">
        <f t="shared" si="49"/>
        <v>5740.281079406334</v>
      </c>
      <c r="H173" s="11">
        <f t="shared" si="49"/>
        <v>5682.878268612271</v>
      </c>
      <c r="I173" s="11">
        <f t="shared" si="49"/>
        <v>5626.049485926148</v>
      </c>
      <c r="J173" s="11">
        <f t="shared" si="49"/>
        <v>5569.788991066886</v>
      </c>
      <c r="K173" s="11">
        <f t="shared" si="49"/>
        <v>5514.091101156218</v>
      </c>
    </row>
    <row r="174" spans="1:11" ht="12.75">
      <c r="A174" t="s">
        <v>33</v>
      </c>
      <c r="B174" s="12">
        <f aca="true" t="shared" si="50" ref="B174:K174">B173*B199</f>
        <v>37423.88545081167</v>
      </c>
      <c r="C174" s="12">
        <f t="shared" si="50"/>
        <v>42069.27613515758</v>
      </c>
      <c r="D174" s="12">
        <f t="shared" si="50"/>
        <v>42831.78176510731</v>
      </c>
      <c r="E174" s="12">
        <f t="shared" si="50"/>
        <v>43106.28379188922</v>
      </c>
      <c r="F174" s="12">
        <f t="shared" si="50"/>
        <v>43486.97787429042</v>
      </c>
      <c r="G174" s="12">
        <f t="shared" si="50"/>
        <v>43970.55306825252</v>
      </c>
      <c r="H174" s="12">
        <f t="shared" si="50"/>
        <v>44383.27927786184</v>
      </c>
      <c r="I174" s="12">
        <f t="shared" si="50"/>
        <v>44839.6144028314</v>
      </c>
      <c r="J174" s="12">
        <f t="shared" si="50"/>
        <v>45282.384497373794</v>
      </c>
      <c r="K174" s="12">
        <f t="shared" si="50"/>
        <v>45711.815228585045</v>
      </c>
    </row>
    <row r="175" spans="1:11" ht="12.75">
      <c r="A175" t="s">
        <v>34</v>
      </c>
      <c r="B175" s="15">
        <f aca="true" t="shared" si="51" ref="B175:K175">-B170*B199</f>
        <v>-143938.02096466022</v>
      </c>
      <c r="C175" s="15">
        <f t="shared" si="51"/>
        <v>-163439.3012243884</v>
      </c>
      <c r="D175" s="15">
        <f t="shared" si="51"/>
        <v>-168082.46319099033</v>
      </c>
      <c r="E175" s="15">
        <f t="shared" si="51"/>
        <v>-170868.3603709515</v>
      </c>
      <c r="F175" s="15">
        <f t="shared" si="51"/>
        <v>-174118.57374757284</v>
      </c>
      <c r="G175" s="15">
        <f t="shared" si="51"/>
        <v>-177833.1033208544</v>
      </c>
      <c r="H175" s="15">
        <f t="shared" si="51"/>
        <v>-181315.47479580584</v>
      </c>
      <c r="I175" s="15">
        <f t="shared" si="51"/>
        <v>-185030.0043690874</v>
      </c>
      <c r="J175" s="15">
        <f t="shared" si="51"/>
        <v>-188744.533942369</v>
      </c>
      <c r="K175" s="15">
        <f t="shared" si="51"/>
        <v>-192459.0635156505</v>
      </c>
    </row>
    <row r="176" spans="1:11" ht="12.75">
      <c r="A176" t="s">
        <v>35</v>
      </c>
      <c r="B176" s="15">
        <f>B168*(-$D154)</f>
        <v>-84096</v>
      </c>
      <c r="C176" s="15">
        <f aca="true" t="shared" si="52" ref="C176:K176">C168*(-$D154)</f>
        <v>-83255.04</v>
      </c>
      <c r="D176" s="15">
        <f t="shared" si="52"/>
        <v>-82422.48959999999</v>
      </c>
      <c r="E176" s="15">
        <f t="shared" si="52"/>
        <v>-81598.264704</v>
      </c>
      <c r="F176" s="15">
        <f t="shared" si="52"/>
        <v>-80782.28205695999</v>
      </c>
      <c r="G176" s="15">
        <f t="shared" si="52"/>
        <v>-79974.4592363904</v>
      </c>
      <c r="H176" s="15">
        <f t="shared" si="52"/>
        <v>-79174.71464402649</v>
      </c>
      <c r="I176" s="15">
        <f t="shared" si="52"/>
        <v>-78382.96749758623</v>
      </c>
      <c r="J176" s="15">
        <f t="shared" si="52"/>
        <v>-77599.13782261037</v>
      </c>
      <c r="K176" s="15">
        <f t="shared" si="52"/>
        <v>-76823.14644438426</v>
      </c>
    </row>
    <row r="177" spans="1:11" ht="12.75">
      <c r="A177" s="13" t="s">
        <v>78</v>
      </c>
      <c r="B177" s="15">
        <f>-$D159</f>
        <v>-1439.01615</v>
      </c>
      <c r="C177" s="15">
        <f aca="true" t="shared" si="53" ref="C177:K177">-$D159</f>
        <v>-1439.01615</v>
      </c>
      <c r="D177" s="15">
        <f t="shared" si="53"/>
        <v>-1439.01615</v>
      </c>
      <c r="E177" s="15">
        <f t="shared" si="53"/>
        <v>-1439.01615</v>
      </c>
      <c r="F177" s="15">
        <f t="shared" si="53"/>
        <v>-1439.01615</v>
      </c>
      <c r="G177" s="15">
        <f t="shared" si="53"/>
        <v>-1439.01615</v>
      </c>
      <c r="H177" s="15">
        <f t="shared" si="53"/>
        <v>-1439.01615</v>
      </c>
      <c r="I177" s="15">
        <f t="shared" si="53"/>
        <v>-1439.01615</v>
      </c>
      <c r="J177" s="15">
        <f t="shared" si="53"/>
        <v>-1439.01615</v>
      </c>
      <c r="K177" s="15">
        <f t="shared" si="53"/>
        <v>-1439.01615</v>
      </c>
    </row>
    <row r="178" spans="1:11" ht="12.75">
      <c r="A178" s="13" t="s">
        <v>83</v>
      </c>
      <c r="B178" s="15">
        <f>-'Summary Page'!$B$30</f>
        <v>-4300</v>
      </c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>
      <c r="A179" s="13" t="s">
        <v>86</v>
      </c>
      <c r="B179" s="15">
        <f>-'Summary Page'!$B$31</f>
        <v>-17000</v>
      </c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3" t="s">
        <v>85</v>
      </c>
      <c r="B180" s="15">
        <f>-'Summary Page'!$B$32</f>
        <v>-7500</v>
      </c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" hidden="1">
      <c r="A181" s="13" t="s">
        <v>93</v>
      </c>
      <c r="B181" s="113">
        <f>IF(B153&gt;=1000,1000*B154*B157,B153*B154*B157)</f>
        <v>0</v>
      </c>
      <c r="C181" s="113">
        <f>IF(($B181/$B157)-B181&gt;=0.1,((($B181/$B157)-$B181)/$B$7),0)</f>
        <v>0</v>
      </c>
      <c r="D181" s="113">
        <f>IF(($B181/$B157)-B181-C181&gt;=0.1,((($B181/$B157)-$B181)/$B$7),0)</f>
        <v>0</v>
      </c>
      <c r="E181" s="113">
        <f>IF(($B181/$B157)-B181-C181-D181&gt;=0.1,((($B181/$B157)-$B181)/$B$7),0)</f>
        <v>0</v>
      </c>
      <c r="F181" s="113">
        <f>IF(($B181/$B157)-B181-C181-D181-E181&gt;=0.1,((($B181/$B157)-$B181)/$B$7),0)</f>
        <v>0</v>
      </c>
      <c r="G181" s="113">
        <f>IF(($B181/$B157)-B181-C181-D181-E181-F181&gt;=0.1,((($B181/$B157)-$B181)/$B$7),0)</f>
        <v>0</v>
      </c>
      <c r="H181" s="113">
        <f>IF(($B181/$B157)-B181-C181-D181-E181-F181-G181&gt;=0.1,((($B181/$B157)-$B181)/$B$7),0)</f>
        <v>0</v>
      </c>
      <c r="I181" s="113">
        <f>IF(($B181/$B157)-B181-C181-D181-E181-F181-G181-H181&gt;=0.1,((($B181/$B157)-$B181)/$B$7),0)</f>
        <v>0</v>
      </c>
      <c r="J181" s="113">
        <f>IF(($B181/$B157)-B181-C181-D181-E181-F181-G181-H181-I181&gt;=0.1,((($B181/$B157)-$B181)/$B$7),0)</f>
        <v>0</v>
      </c>
      <c r="K181" s="113">
        <f>IF(($B181/$B157)-B181-C181-D181-E181-F181-G181-H181-I181-J181&gt;=0.1,((($B181/$B157)-$B181)/$B$7),0)</f>
        <v>0</v>
      </c>
    </row>
    <row r="182" spans="1:11" ht="12" hidden="1">
      <c r="A182" s="13" t="s">
        <v>94</v>
      </c>
      <c r="B182" s="113">
        <f>IF(AND(B153&gt;=0,B153&lt;=2000),(B153-1000)*B155*B157,1000*B155*B157)</f>
        <v>0</v>
      </c>
      <c r="C182" s="113">
        <f>IF(($B182/$B157)-B182&gt;=0.1,((($B182/$B157)-$B182)/$B$7),0)</f>
        <v>0</v>
      </c>
      <c r="D182" s="113">
        <f>IF(($B182/$B157)-B182-C182&gt;=0.1,((($B182/$B157)-$B182)/$B$7),0)</f>
        <v>0</v>
      </c>
      <c r="E182" s="113">
        <f>IF(($B182/$B157)-B182-C182-D182&gt;=0.1,((($B182/$B157)-$B182)/$B$7),0)</f>
        <v>0</v>
      </c>
      <c r="F182" s="113">
        <f>IF(($B182/$B157)-B182-C182-D182-E182&gt;=0.1,((($B182/$B157)-$B182)/$B$7),0)</f>
        <v>0</v>
      </c>
      <c r="G182" s="113">
        <f>IF(($B182/$B157)-B182-C182-D182-E182-F182&gt;=0.1,((($B182/$B157)-$B182)/$B$7),0)</f>
        <v>0</v>
      </c>
      <c r="H182" s="113">
        <f>IF(($B182/$B157)-B182-C182-D182-E182-F182-G182&gt;=0.1,((($B182/$B157)-$B182)/$B$7),0)</f>
        <v>0</v>
      </c>
      <c r="I182" s="113">
        <f>IF(($B182/$B157)-B182-C182-D182-E182-F182-G182-H182&gt;=0.1,((($B182/$B157)-$B182)/$B$7),0)</f>
        <v>0</v>
      </c>
      <c r="J182" s="113">
        <f>IF(($B182/$B157)-B182-C182-D182-E182-F182-G182-H182-I182&gt;=0.1,((($B182/$B157)-$B182)/$B$7),0)</f>
        <v>0</v>
      </c>
      <c r="K182" s="113">
        <f>IF(($B182/$B157)-B182-C182-D182-E182-F182-G182-H182-I182-J182&gt;=0.1,((($B182/$B157)-$B182)/$B$7),0)</f>
        <v>0</v>
      </c>
    </row>
    <row r="183" spans="1:11" ht="12" hidden="1">
      <c r="A183" s="13" t="s">
        <v>95</v>
      </c>
      <c r="B183" s="113">
        <f>IF(AND(B153&gt;=0,B153&lt;=3000),(B153-2000)*B156*B157,1000*B156*B157)</f>
        <v>0</v>
      </c>
      <c r="C183" s="113">
        <f>IF(($B183/$B157)-B183&gt;=0.1,((($B183/$B157)-$B183)/$B$7),0)</f>
        <v>0</v>
      </c>
      <c r="D183" s="113">
        <f>IF(($B183/$B157)-B183-C183&gt;=0.1,((($B183/$B157)-$B183)/$B$7),0)</f>
        <v>0</v>
      </c>
      <c r="E183" s="113">
        <f>IF(($B183/$B157)-B183-C183-D183&gt;=0.1,((($B183/$B157)-$B183)/$B$7),0)</f>
        <v>0</v>
      </c>
      <c r="F183" s="113">
        <f>IF(($B183/$B157)-B183-C183-D183-E183&gt;=0.1,((($B183/$B157)-$B183)/$B$7),0)</f>
        <v>0</v>
      </c>
      <c r="G183" s="113">
        <f>IF(($B183/$B157)-B183-C183-D183-E183-F183&gt;=0.1,((($B183/$B157)-$B183)/$B$7),0)</f>
        <v>0</v>
      </c>
      <c r="H183" s="113">
        <f>IF(($B183/$B157)-B183-C183-D183-E183-F183-G183&gt;=0.1,((($B183/$B157)-$B183)/$B$7),0)</f>
        <v>0</v>
      </c>
      <c r="I183" s="113">
        <f>IF(($B183/$B157)-B183-C183-D183-E183-F183-G183-H183&gt;=0.1,((($B183/$B157)-$B183)/$B$7),0)</f>
        <v>0</v>
      </c>
      <c r="J183" s="113">
        <f>IF(($B183/$B157)-B183-C183-D183-E183-F183-G183-H183-I183&gt;=0.1,((($B183/$B157)-$B183)/$B$7),0)</f>
        <v>0</v>
      </c>
      <c r="K183" s="113">
        <f>IF(($B183/$B157)-B183-C183-D183-E183-F183-G183-H183-I183-J183&gt;=0.1,((($B183/$B157)-$B183)/$B$7),0)</f>
        <v>0</v>
      </c>
    </row>
    <row r="184" spans="1:12" ht="12.75">
      <c r="A184" s="13" t="s">
        <v>96</v>
      </c>
      <c r="B184" s="12">
        <f aca="true" t="shared" si="54" ref="B184:K184">IF(B182&lt;=0,0,B182)+IF(B183&lt;=0,0,B183)+B181</f>
        <v>0</v>
      </c>
      <c r="C184" s="12">
        <f t="shared" si="54"/>
        <v>0</v>
      </c>
      <c r="D184" s="12">
        <f t="shared" si="54"/>
        <v>0</v>
      </c>
      <c r="E184" s="12">
        <f t="shared" si="54"/>
        <v>0</v>
      </c>
      <c r="F184" s="12">
        <f t="shared" si="54"/>
        <v>0</v>
      </c>
      <c r="G184" s="12">
        <f t="shared" si="54"/>
        <v>0</v>
      </c>
      <c r="H184" s="12">
        <f t="shared" si="54"/>
        <v>0</v>
      </c>
      <c r="I184" s="12">
        <f t="shared" si="54"/>
        <v>0</v>
      </c>
      <c r="J184" s="12">
        <f t="shared" si="54"/>
        <v>0</v>
      </c>
      <c r="K184" s="12">
        <f t="shared" si="54"/>
        <v>0</v>
      </c>
      <c r="L184" s="12"/>
    </row>
    <row r="185" spans="1:11" ht="12.75">
      <c r="A185" t="s">
        <v>36</v>
      </c>
      <c r="B185" s="12">
        <f aca="true" t="shared" si="55" ref="B185:K185">IF($B$12="yes",(B184*0.2),0)</f>
        <v>0</v>
      </c>
      <c r="C185" s="12">
        <f t="shared" si="55"/>
        <v>0</v>
      </c>
      <c r="D185" s="12">
        <f t="shared" si="55"/>
        <v>0</v>
      </c>
      <c r="E185" s="12">
        <f t="shared" si="55"/>
        <v>0</v>
      </c>
      <c r="F185" s="12">
        <f t="shared" si="55"/>
        <v>0</v>
      </c>
      <c r="G185" s="12">
        <f t="shared" si="55"/>
        <v>0</v>
      </c>
      <c r="H185" s="12">
        <f t="shared" si="55"/>
        <v>0</v>
      </c>
      <c r="I185" s="12">
        <f t="shared" si="55"/>
        <v>0</v>
      </c>
      <c r="J185" s="12">
        <f t="shared" si="55"/>
        <v>0</v>
      </c>
      <c r="K185" s="12">
        <f t="shared" si="55"/>
        <v>0</v>
      </c>
    </row>
    <row r="186" spans="1:4" ht="12.75" hidden="1">
      <c r="A186" t="s">
        <v>54</v>
      </c>
      <c r="B186" s="12">
        <f>((D152)-SUM(B184:K185))*D155</f>
        <v>880859.4871714285</v>
      </c>
      <c r="C186" s="12"/>
      <c r="D186" s="12"/>
    </row>
    <row r="187" spans="1:4" ht="12.75" hidden="1">
      <c r="A187" s="13" t="s">
        <v>56</v>
      </c>
      <c r="B187" s="12">
        <f>IF(B186&gt;B153*'Summary Page'!F10,B186,B153*'Summary Page'!F10)</f>
        <v>1200000</v>
      </c>
      <c r="C187" s="12"/>
      <c r="D187" s="12"/>
    </row>
    <row r="188" spans="1:4" ht="12.75">
      <c r="A188" t="s">
        <v>53</v>
      </c>
      <c r="B188" s="12">
        <f>MIN(B186:B187)</f>
        <v>880859.4871714285</v>
      </c>
      <c r="C188" s="12"/>
      <c r="D188" s="12"/>
    </row>
    <row r="189" spans="1:13" ht="12.75">
      <c r="A189" t="s">
        <v>38</v>
      </c>
      <c r="B189" s="16">
        <f>-$D152+B169+B174+B175+B176+B177+B178+B179+B180+B184+B185+B188</f>
        <v>-1945497.2542638483</v>
      </c>
      <c r="C189" s="16">
        <f>C169+C174+C175+C176+C177+C184+C185+C188</f>
        <v>127867.38842860924</v>
      </c>
      <c r="D189" s="16">
        <f aca="true" t="shared" si="56" ref="D189:K189">D169+D174+D175+D176+D177+D184+D185+D188</f>
        <v>128091.81089470183</v>
      </c>
      <c r="E189" s="16">
        <f t="shared" si="56"/>
        <v>129709.23981861425</v>
      </c>
      <c r="F189" s="16">
        <f t="shared" si="56"/>
        <v>130992.68742450052</v>
      </c>
      <c r="G189" s="16">
        <f t="shared" si="56"/>
        <v>131939.2425644972</v>
      </c>
      <c r="H189" s="16">
        <f t="shared" si="56"/>
        <v>133072.0515199131</v>
      </c>
      <c r="I189" s="16">
        <f t="shared" si="56"/>
        <v>134041.66040079386</v>
      </c>
      <c r="J189" s="16">
        <f t="shared" si="56"/>
        <v>135023.46013037398</v>
      </c>
      <c r="K189" s="16">
        <f t="shared" si="56"/>
        <v>136018.08554930004</v>
      </c>
      <c r="M189" s="16"/>
    </row>
    <row r="190" spans="1:11" ht="12.75">
      <c r="A190" t="s">
        <v>39</v>
      </c>
      <c r="B190" s="16">
        <f>B189</f>
        <v>-1945497.2542638483</v>
      </c>
      <c r="C190" s="16">
        <f>B190+C189</f>
        <v>-1817629.8658352392</v>
      </c>
      <c r="D190" s="16">
        <f aca="true" t="shared" si="57" ref="D190:K190">C190+D189</f>
        <v>-1689538.0549405373</v>
      </c>
      <c r="E190" s="16">
        <f t="shared" si="57"/>
        <v>-1559828.815121923</v>
      </c>
      <c r="F190" s="16">
        <f t="shared" si="57"/>
        <v>-1428836.1276974226</v>
      </c>
      <c r="G190" s="16">
        <f t="shared" si="57"/>
        <v>-1296896.8851329254</v>
      </c>
      <c r="H190" s="16">
        <f t="shared" si="57"/>
        <v>-1163824.8336130122</v>
      </c>
      <c r="I190" s="16">
        <f t="shared" si="57"/>
        <v>-1029783.1732122183</v>
      </c>
      <c r="J190" s="16">
        <f t="shared" si="57"/>
        <v>-894759.7130818444</v>
      </c>
      <c r="K190" s="16">
        <f t="shared" si="57"/>
        <v>-758741.6275325443</v>
      </c>
    </row>
    <row r="191" spans="2:11" ht="12.75">
      <c r="B191" s="17"/>
      <c r="C191" s="17"/>
      <c r="D191" s="18"/>
      <c r="E191" s="18"/>
      <c r="F191" s="18"/>
      <c r="G191" s="19"/>
      <c r="H191" s="19"/>
      <c r="I191" s="17"/>
      <c r="J191" s="17"/>
      <c r="K191" s="17"/>
    </row>
    <row r="192" spans="1:11" ht="12.75">
      <c r="A192" s="20" t="s">
        <v>40</v>
      </c>
      <c r="B192" s="21">
        <f>(NPV($B$8,C189:K189))+$B$189</f>
        <v>-1010713.1828356623</v>
      </c>
      <c r="C192" s="18"/>
      <c r="E192" s="18"/>
      <c r="F192" s="18"/>
      <c r="G192" s="19"/>
      <c r="H192" s="19"/>
      <c r="I192" s="17"/>
      <c r="J192" s="17"/>
      <c r="K192" s="17"/>
    </row>
    <row r="193" spans="1:11" ht="12.75">
      <c r="A193" s="22" t="s">
        <v>41</v>
      </c>
      <c r="B193" s="23">
        <f>IRR(B189:K189)</f>
        <v>-0.08811214571119874</v>
      </c>
      <c r="C193" s="18"/>
      <c r="D193" s="18"/>
      <c r="E193" s="18"/>
      <c r="F193" s="24"/>
      <c r="G193" s="19"/>
      <c r="H193" s="19"/>
      <c r="I193" s="17"/>
      <c r="J193" s="17"/>
      <c r="K193" s="17"/>
    </row>
    <row r="194" spans="1:11" ht="12.75">
      <c r="A194" s="25" t="s">
        <v>42</v>
      </c>
      <c r="B194" s="26" t="e">
        <f>COUNTIF(B190:K190,"&lt;0")+1-INDEX(B190:K190,COUNTIF(B190:K190,"&lt;0")+1)/INDEX(B189:K189,COUNTIF(B190:K190,"&lt;0")+1)</f>
        <v>#REF!</v>
      </c>
      <c r="C194" s="18"/>
      <c r="E194" s="18"/>
      <c r="F194" s="18"/>
      <c r="G194" s="19"/>
      <c r="H194" s="19"/>
      <c r="I194" s="17"/>
      <c r="J194" s="17"/>
      <c r="K194" s="17"/>
    </row>
    <row r="195" spans="1:11" ht="12.75">
      <c r="A195" s="27"/>
      <c r="B195" s="28"/>
      <c r="C195" s="18"/>
      <c r="E195" s="18"/>
      <c r="F195" s="18"/>
      <c r="G195" s="19"/>
      <c r="H195" s="19"/>
      <c r="I195" s="17"/>
      <c r="J195" s="17"/>
      <c r="K195" s="17"/>
    </row>
    <row r="196" ht="12.75">
      <c r="A196" s="7"/>
    </row>
    <row r="197" spans="1:7" ht="12.75">
      <c r="A197" s="29" t="s">
        <v>43</v>
      </c>
      <c r="F197" s="11"/>
      <c r="G197" s="11"/>
    </row>
    <row r="198" spans="1:12" ht="12.75">
      <c r="A198" s="20" t="s">
        <v>26</v>
      </c>
      <c r="B198" s="30">
        <v>2010</v>
      </c>
      <c r="C198" s="30">
        <v>2011</v>
      </c>
      <c r="D198" s="30">
        <v>2012</v>
      </c>
      <c r="E198" s="30">
        <v>2013</v>
      </c>
      <c r="F198" s="30">
        <v>2014</v>
      </c>
      <c r="G198" s="30">
        <v>2015</v>
      </c>
      <c r="H198" s="30">
        <v>2016</v>
      </c>
      <c r="I198" s="30">
        <v>2017</v>
      </c>
      <c r="J198" s="30">
        <v>2018</v>
      </c>
      <c r="K198" s="30">
        <v>2019</v>
      </c>
      <c r="L198" s="31">
        <v>2020</v>
      </c>
    </row>
    <row r="199" spans="1:12" ht="12.75">
      <c r="A199" s="2" t="s">
        <v>44</v>
      </c>
      <c r="B199" s="32">
        <v>6.2</v>
      </c>
      <c r="C199" s="32">
        <v>7.04</v>
      </c>
      <c r="D199" s="32">
        <v>7.24</v>
      </c>
      <c r="E199" s="32">
        <v>7.36</v>
      </c>
      <c r="F199" s="32">
        <v>7.5</v>
      </c>
      <c r="G199" s="32">
        <v>7.66</v>
      </c>
      <c r="H199" s="32">
        <v>7.81</v>
      </c>
      <c r="I199" s="32">
        <v>7.97</v>
      </c>
      <c r="J199" s="32">
        <v>8.13</v>
      </c>
      <c r="K199" s="32">
        <v>8.29</v>
      </c>
      <c r="L199" s="33">
        <v>8.45</v>
      </c>
    </row>
    <row r="200" spans="1:12" ht="12.75">
      <c r="A200" s="6" t="s">
        <v>45</v>
      </c>
      <c r="B200" s="34">
        <f>$D158</f>
        <v>0.117969</v>
      </c>
      <c r="C200" s="34">
        <f aca="true" t="shared" si="58" ref="C200:K200">($D158)*(1+$B161)^B166</f>
        <v>0.12032838000000001</v>
      </c>
      <c r="D200" s="34">
        <f t="shared" si="58"/>
        <v>0.1227349476</v>
      </c>
      <c r="E200" s="34">
        <f t="shared" si="58"/>
        <v>0.125189646552</v>
      </c>
      <c r="F200" s="34">
        <f t="shared" si="58"/>
        <v>0.12769343948304</v>
      </c>
      <c r="G200" s="34">
        <f t="shared" si="58"/>
        <v>0.1302473082727008</v>
      </c>
      <c r="H200" s="34">
        <f t="shared" si="58"/>
        <v>0.13285225443815482</v>
      </c>
      <c r="I200" s="34">
        <f t="shared" si="58"/>
        <v>0.1355092995269179</v>
      </c>
      <c r="J200" s="34">
        <f t="shared" si="58"/>
        <v>0.13821948551745628</v>
      </c>
      <c r="K200" s="34">
        <f t="shared" si="58"/>
        <v>0.1409838752278054</v>
      </c>
      <c r="L200" s="107">
        <f>K200*(1+$B$10)</f>
        <v>0.1438035527323615</v>
      </c>
    </row>
    <row r="201" spans="1:12" ht="12.75">
      <c r="A201" s="92"/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34"/>
    </row>
    <row r="202" spans="1:12" ht="12.75">
      <c r="A202" s="92"/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34"/>
    </row>
    <row r="203" spans="1:13" ht="12.75">
      <c r="A203" s="38" t="s">
        <v>0</v>
      </c>
      <c r="B203" s="81" t="str">
        <f>'Summary Page'!A8</f>
        <v>Fuel Cell - Electric Only</v>
      </c>
      <c r="C203" s="38" t="s">
        <v>1</v>
      </c>
      <c r="D203" s="41">
        <f>(D204*B204)-B229-B230-B231</f>
        <v>972601</v>
      </c>
      <c r="E203" s="1"/>
      <c r="L203" s="3"/>
      <c r="M203" s="3"/>
    </row>
    <row r="204" spans="1:13" ht="12.75">
      <c r="A204" s="38" t="s">
        <v>3</v>
      </c>
      <c r="B204" s="42">
        <f>VLOOKUP(B203,'Summary Page'!$A$7:$K$19,2,0)</f>
        <v>100</v>
      </c>
      <c r="C204" s="38" t="s">
        <v>4</v>
      </c>
      <c r="D204" s="41">
        <f>VLOOKUP(B203,'Summary Page'!$A$7:$K$19,3,0)</f>
        <v>9608.01</v>
      </c>
      <c r="E204" s="1"/>
      <c r="J204" s="3"/>
      <c r="L204" s="3"/>
      <c r="M204" s="3"/>
    </row>
    <row r="205" spans="1:13" ht="12.75">
      <c r="A205" s="38" t="s">
        <v>90</v>
      </c>
      <c r="B205" s="41">
        <f>VLOOKUP(B203,'Summary Page'!$A$7:$K$19,11,0)</f>
        <v>0</v>
      </c>
      <c r="C205" s="82" t="s">
        <v>6</v>
      </c>
      <c r="D205" s="83">
        <f>VLOOKUP(B203,'Summary Page'!$A$7:$K$19,4,0)</f>
        <v>0.02</v>
      </c>
      <c r="E205" s="1"/>
      <c r="J205" s="3"/>
      <c r="L205" s="3"/>
      <c r="M205" s="3"/>
    </row>
    <row r="206" spans="1:13" ht="12.75">
      <c r="A206" s="38" t="s">
        <v>91</v>
      </c>
      <c r="B206" s="41">
        <f>(VLOOKUP(B203,'Summary Page'!$A$7:$K$19,11,0))*'Summary Page'!$B$39</f>
        <v>0</v>
      </c>
      <c r="C206" s="85" t="s">
        <v>8</v>
      </c>
      <c r="D206" s="86">
        <f>VLOOKUP(B203,'Summary Page'!$A$7:$K$19,5,0)</f>
        <v>0.3</v>
      </c>
      <c r="E206" s="5"/>
      <c r="J206" s="3"/>
      <c r="L206" s="3"/>
      <c r="M206" s="3"/>
    </row>
    <row r="207" spans="1:13" ht="12.75">
      <c r="A207" s="38" t="s">
        <v>92</v>
      </c>
      <c r="B207" s="41">
        <f>(VLOOKUP(B203,'Summary Page'!$A$7:$K$19,11,0))*'Summary Page'!$B$40</f>
        <v>0</v>
      </c>
      <c r="C207" s="85" t="s">
        <v>10</v>
      </c>
      <c r="D207" s="86">
        <f>VLOOKUP(B203,'Summary Page'!$A$7:$K$19,8,0)</f>
        <v>0.46</v>
      </c>
      <c r="E207" s="5"/>
      <c r="J207" s="3"/>
      <c r="L207" s="3"/>
      <c r="M207" s="3"/>
    </row>
    <row r="208" spans="1:13" ht="12.75">
      <c r="A208" s="39" t="s">
        <v>7</v>
      </c>
      <c r="B208" s="84">
        <f>'Summary Page'!$B$23</f>
        <v>0.25</v>
      </c>
      <c r="C208" s="85" t="s">
        <v>13</v>
      </c>
      <c r="D208" s="86">
        <f>VLOOKUP(B203,'Summary Page'!$A$7:$K$19,9,0)</f>
        <v>0.46</v>
      </c>
      <c r="J208" s="3"/>
      <c r="L208" s="3"/>
      <c r="M208" s="3"/>
    </row>
    <row r="209" spans="1:13" ht="12.75">
      <c r="A209" s="39" t="s">
        <v>9</v>
      </c>
      <c r="B209" s="87">
        <f>'Summary Page'!$B$24</f>
        <v>5</v>
      </c>
      <c r="C209" s="40" t="s">
        <v>15</v>
      </c>
      <c r="D209" s="88">
        <f>'Summary Page'!$B$27</f>
        <v>0.117969</v>
      </c>
      <c r="J209" s="3"/>
      <c r="L209" s="3"/>
      <c r="M209" s="3"/>
    </row>
    <row r="210" spans="1:13" ht="12.75">
      <c r="A210" s="38" t="s">
        <v>12</v>
      </c>
      <c r="B210" s="43">
        <f>'Summary Page'!$B$26</f>
        <v>0.05</v>
      </c>
      <c r="C210" s="38" t="s">
        <v>17</v>
      </c>
      <c r="D210" s="41">
        <f>'Summary Page'!$B$29</f>
        <v>1439.01615</v>
      </c>
      <c r="J210" s="3"/>
      <c r="L210" s="3"/>
      <c r="M210" s="3"/>
    </row>
    <row r="211" spans="1:13" ht="12.75">
      <c r="A211" s="38" t="s">
        <v>14</v>
      </c>
      <c r="B211" s="43">
        <f>'Summary Page'!$B$35</f>
        <v>0.01</v>
      </c>
      <c r="C211" s="38" t="s">
        <v>19</v>
      </c>
      <c r="D211" s="42">
        <f>'Summary Page'!$B$34</f>
        <v>8760</v>
      </c>
      <c r="F211" s="13"/>
      <c r="J211" s="3"/>
      <c r="L211" s="3"/>
      <c r="M211" s="3"/>
    </row>
    <row r="212" spans="1:13" ht="12.75">
      <c r="A212" s="39" t="s">
        <v>16</v>
      </c>
      <c r="B212" s="43">
        <f>'Summary Page'!$B$28</f>
        <v>0.02</v>
      </c>
      <c r="C212" s="38" t="s">
        <v>20</v>
      </c>
      <c r="D212" s="90">
        <f>'Summary Page'!$B$33</f>
        <v>6.2</v>
      </c>
      <c r="J212" s="3"/>
      <c r="L212" s="3"/>
      <c r="M212" s="3"/>
    </row>
    <row r="213" spans="1:13" ht="12.75">
      <c r="A213" s="39" t="s">
        <v>18</v>
      </c>
      <c r="B213" s="43">
        <f>VLOOKUP(B203,'Summary Page'!$A$7:$K$19,10,0)</f>
        <v>0.8</v>
      </c>
      <c r="C213" s="38" t="s">
        <v>77</v>
      </c>
      <c r="D213" s="84">
        <f>'Summary Page'!$B$36</f>
        <v>0.8</v>
      </c>
      <c r="J213" s="3"/>
      <c r="L213" s="3"/>
      <c r="M213" s="3"/>
    </row>
    <row r="214" spans="1:13" ht="12.75">
      <c r="A214" s="39" t="s">
        <v>22</v>
      </c>
      <c r="B214" s="89" t="str">
        <f>'Summary Page'!$B$25</f>
        <v>Yes</v>
      </c>
      <c r="C214" s="39" t="s">
        <v>24</v>
      </c>
      <c r="D214" s="91">
        <f>D215/D207</f>
        <v>7417.697826086956</v>
      </c>
      <c r="L214" s="3"/>
      <c r="M214" s="3"/>
    </row>
    <row r="215" spans="3:13" ht="12.75">
      <c r="C215" s="39" t="s">
        <v>25</v>
      </c>
      <c r="D215" s="91">
        <f>'Summary Page'!$B$37</f>
        <v>3412.141</v>
      </c>
      <c r="L215" s="3"/>
      <c r="M215" s="3"/>
    </row>
    <row r="216" spans="5:13" ht="12.75">
      <c r="E216" s="9"/>
      <c r="F216" s="9"/>
      <c r="G216" s="9"/>
      <c r="L216" s="3"/>
      <c r="M216" s="3"/>
    </row>
    <row r="217" spans="1:11" ht="12.75">
      <c r="A217" s="10" t="s">
        <v>26</v>
      </c>
      <c r="B217" s="10">
        <v>1</v>
      </c>
      <c r="C217" s="10">
        <v>2</v>
      </c>
      <c r="D217" s="10">
        <v>3</v>
      </c>
      <c r="E217" s="10">
        <v>4</v>
      </c>
      <c r="F217" s="10">
        <v>5</v>
      </c>
      <c r="G217" s="10">
        <v>6</v>
      </c>
      <c r="H217" s="10">
        <v>7</v>
      </c>
      <c r="I217" s="10">
        <v>8</v>
      </c>
      <c r="J217" s="10">
        <v>9</v>
      </c>
      <c r="K217" s="10">
        <v>10</v>
      </c>
    </row>
    <row r="219" spans="1:11" ht="12.75">
      <c r="A219" t="s">
        <v>27</v>
      </c>
      <c r="B219" s="11">
        <f>($B204*$B213*$D211)</f>
        <v>700800</v>
      </c>
      <c r="C219" s="11">
        <f aca="true" t="shared" si="59" ref="C219:K219">B219*(1-$B$211)</f>
        <v>693792</v>
      </c>
      <c r="D219" s="11">
        <f t="shared" si="59"/>
        <v>686854.08</v>
      </c>
      <c r="E219" s="11">
        <f t="shared" si="59"/>
        <v>679985.5392</v>
      </c>
      <c r="F219" s="11">
        <f t="shared" si="59"/>
        <v>673185.683808</v>
      </c>
      <c r="G219" s="11">
        <f t="shared" si="59"/>
        <v>666453.82696992</v>
      </c>
      <c r="H219" s="11">
        <f t="shared" si="59"/>
        <v>659789.2887002208</v>
      </c>
      <c r="I219" s="11">
        <f t="shared" si="59"/>
        <v>653191.3958132186</v>
      </c>
      <c r="J219" s="11">
        <f t="shared" si="59"/>
        <v>646659.4818550864</v>
      </c>
      <c r="K219" s="11">
        <f t="shared" si="59"/>
        <v>640192.8870365355</v>
      </c>
    </row>
    <row r="220" spans="1:11" ht="12.75">
      <c r="A220" t="s">
        <v>28</v>
      </c>
      <c r="B220" s="12">
        <f aca="true" t="shared" si="60" ref="B220:K220">B219*B251</f>
        <v>82672.6752</v>
      </c>
      <c r="C220" s="12">
        <f t="shared" si="60"/>
        <v>83482.86741696001</v>
      </c>
      <c r="D220" s="12">
        <f t="shared" si="60"/>
        <v>84300.99951764621</v>
      </c>
      <c r="E220" s="12">
        <f t="shared" si="60"/>
        <v>85127.14931291914</v>
      </c>
      <c r="F220" s="12">
        <f t="shared" si="60"/>
        <v>85961.39537618573</v>
      </c>
      <c r="G220" s="12">
        <f t="shared" si="60"/>
        <v>86803.81705087237</v>
      </c>
      <c r="H220" s="12">
        <f t="shared" si="60"/>
        <v>87654.49445797091</v>
      </c>
      <c r="I220" s="12">
        <f t="shared" si="60"/>
        <v>88513.50850365902</v>
      </c>
      <c r="J220" s="12">
        <f t="shared" si="60"/>
        <v>89380.9408869949</v>
      </c>
      <c r="K220" s="12">
        <f t="shared" si="60"/>
        <v>90256.87410768744</v>
      </c>
    </row>
    <row r="221" spans="1:11" ht="12.75">
      <c r="A221" t="s">
        <v>29</v>
      </c>
      <c r="B221" s="11">
        <f>(D214*B219)/1000000</f>
        <v>5198.322636521739</v>
      </c>
      <c r="C221" s="11">
        <f>B221</f>
        <v>5198.322636521739</v>
      </c>
      <c r="D221" s="11">
        <f aca="true" t="shared" si="61" ref="D221:K221">C221</f>
        <v>5198.322636521739</v>
      </c>
      <c r="E221" s="11">
        <f t="shared" si="61"/>
        <v>5198.322636521739</v>
      </c>
      <c r="F221" s="11">
        <f t="shared" si="61"/>
        <v>5198.322636521739</v>
      </c>
      <c r="G221" s="11">
        <f t="shared" si="61"/>
        <v>5198.322636521739</v>
      </c>
      <c r="H221" s="11">
        <f t="shared" si="61"/>
        <v>5198.322636521739</v>
      </c>
      <c r="I221" s="11">
        <f t="shared" si="61"/>
        <v>5198.322636521739</v>
      </c>
      <c r="J221" s="11">
        <f t="shared" si="61"/>
        <v>5198.322636521739</v>
      </c>
      <c r="K221" s="11">
        <f t="shared" si="61"/>
        <v>5198.322636521739</v>
      </c>
    </row>
    <row r="222" spans="1:11" ht="12.75">
      <c r="A222" s="13" t="s">
        <v>30</v>
      </c>
      <c r="B222" s="11">
        <f>(B221*$D208)-(B219/1000)*$D215/1000</f>
        <v>0</v>
      </c>
      <c r="C222" s="11">
        <f>(B222)*(1-$B$9)</f>
        <v>0</v>
      </c>
      <c r="D222" s="11">
        <f aca="true" t="shared" si="62" ref="D222:K222">(C222)*(1-$B$9)</f>
        <v>0</v>
      </c>
      <c r="E222" s="11">
        <f t="shared" si="62"/>
        <v>0</v>
      </c>
      <c r="F222" s="11">
        <f t="shared" si="62"/>
        <v>0</v>
      </c>
      <c r="G222" s="11">
        <f t="shared" si="62"/>
        <v>0</v>
      </c>
      <c r="H222" s="11">
        <f t="shared" si="62"/>
        <v>0</v>
      </c>
      <c r="I222" s="11">
        <f t="shared" si="62"/>
        <v>0</v>
      </c>
      <c r="J222" s="11">
        <f t="shared" si="62"/>
        <v>0</v>
      </c>
      <c r="K222" s="11">
        <f t="shared" si="62"/>
        <v>0</v>
      </c>
    </row>
    <row r="223" spans="1:11" ht="12.75">
      <c r="A223" t="s">
        <v>31</v>
      </c>
      <c r="B223" s="14">
        <f>B222/(B221-(B219/1000)*$D215/1000)</f>
        <v>0</v>
      </c>
      <c r="C223" s="14">
        <f aca="true" t="shared" si="63" ref="C223:K223">B223*(1-$B211)</f>
        <v>0</v>
      </c>
      <c r="D223" s="14">
        <f t="shared" si="63"/>
        <v>0</v>
      </c>
      <c r="E223" s="14">
        <f t="shared" si="63"/>
        <v>0</v>
      </c>
      <c r="F223" s="14">
        <f t="shared" si="63"/>
        <v>0</v>
      </c>
      <c r="G223" s="14">
        <f t="shared" si="63"/>
        <v>0</v>
      </c>
      <c r="H223" s="14">
        <f t="shared" si="63"/>
        <v>0</v>
      </c>
      <c r="I223" s="14">
        <f t="shared" si="63"/>
        <v>0</v>
      </c>
      <c r="J223" s="14">
        <f t="shared" si="63"/>
        <v>0</v>
      </c>
      <c r="K223" s="14">
        <f t="shared" si="63"/>
        <v>0</v>
      </c>
    </row>
    <row r="224" spans="1:11" ht="12.75">
      <c r="A224" t="s">
        <v>32</v>
      </c>
      <c r="B224" s="11">
        <f>B222/$D213</f>
        <v>0</v>
      </c>
      <c r="C224" s="11">
        <f aca="true" t="shared" si="64" ref="C224:K224">C222/$D213</f>
        <v>0</v>
      </c>
      <c r="D224" s="11">
        <f t="shared" si="64"/>
        <v>0</v>
      </c>
      <c r="E224" s="11">
        <f t="shared" si="64"/>
        <v>0</v>
      </c>
      <c r="F224" s="11">
        <f t="shared" si="64"/>
        <v>0</v>
      </c>
      <c r="G224" s="11">
        <f t="shared" si="64"/>
        <v>0</v>
      </c>
      <c r="H224" s="11">
        <f t="shared" si="64"/>
        <v>0</v>
      </c>
      <c r="I224" s="11">
        <f t="shared" si="64"/>
        <v>0</v>
      </c>
      <c r="J224" s="11">
        <f t="shared" si="64"/>
        <v>0</v>
      </c>
      <c r="K224" s="11">
        <f t="shared" si="64"/>
        <v>0</v>
      </c>
    </row>
    <row r="225" spans="1:11" ht="12.75">
      <c r="A225" t="s">
        <v>33</v>
      </c>
      <c r="B225" s="12">
        <f aca="true" t="shared" si="65" ref="B225:K225">B224*B250</f>
        <v>0</v>
      </c>
      <c r="C225" s="12">
        <f t="shared" si="65"/>
        <v>0</v>
      </c>
      <c r="D225" s="12">
        <f t="shared" si="65"/>
        <v>0</v>
      </c>
      <c r="E225" s="12">
        <f t="shared" si="65"/>
        <v>0</v>
      </c>
      <c r="F225" s="12">
        <f t="shared" si="65"/>
        <v>0</v>
      </c>
      <c r="G225" s="12">
        <f t="shared" si="65"/>
        <v>0</v>
      </c>
      <c r="H225" s="12">
        <f t="shared" si="65"/>
        <v>0</v>
      </c>
      <c r="I225" s="12">
        <f t="shared" si="65"/>
        <v>0</v>
      </c>
      <c r="J225" s="12">
        <f t="shared" si="65"/>
        <v>0</v>
      </c>
      <c r="K225" s="12">
        <f t="shared" si="65"/>
        <v>0</v>
      </c>
    </row>
    <row r="226" spans="1:11" ht="12.75">
      <c r="A226" t="s">
        <v>34</v>
      </c>
      <c r="B226" s="15">
        <f aca="true" t="shared" si="66" ref="B226:K226">-B221*B250</f>
        <v>-32229.60034643478</v>
      </c>
      <c r="C226" s="15">
        <f t="shared" si="66"/>
        <v>-36596.191361113044</v>
      </c>
      <c r="D226" s="15">
        <f t="shared" si="66"/>
        <v>-37635.85588841739</v>
      </c>
      <c r="E226" s="15">
        <f t="shared" si="66"/>
        <v>-38259.6546048</v>
      </c>
      <c r="F226" s="15">
        <f t="shared" si="66"/>
        <v>-38987.41977391304</v>
      </c>
      <c r="G226" s="15">
        <f t="shared" si="66"/>
        <v>-39819.15139575652</v>
      </c>
      <c r="H226" s="15">
        <f t="shared" si="66"/>
        <v>-40598.89979123478</v>
      </c>
      <c r="I226" s="15">
        <f t="shared" si="66"/>
        <v>-41430.631413078256</v>
      </c>
      <c r="J226" s="15">
        <f t="shared" si="66"/>
        <v>-42262.36303492174</v>
      </c>
      <c r="K226" s="15">
        <f t="shared" si="66"/>
        <v>-43094.09465676521</v>
      </c>
    </row>
    <row r="227" spans="1:11" ht="12.75">
      <c r="A227" t="s">
        <v>35</v>
      </c>
      <c r="B227" s="15">
        <f>B219*(-$D205)</f>
        <v>-14016</v>
      </c>
      <c r="C227" s="15">
        <f aca="true" t="shared" si="67" ref="C227:K227">C219*(-$D205)</f>
        <v>-13875.84</v>
      </c>
      <c r="D227" s="15">
        <f t="shared" si="67"/>
        <v>-13737.0816</v>
      </c>
      <c r="E227" s="15">
        <f t="shared" si="67"/>
        <v>-13599.710784</v>
      </c>
      <c r="F227" s="15">
        <f t="shared" si="67"/>
        <v>-13463.71367616</v>
      </c>
      <c r="G227" s="15">
        <f t="shared" si="67"/>
        <v>-13329.0765393984</v>
      </c>
      <c r="H227" s="15">
        <f t="shared" si="67"/>
        <v>-13195.785774004415</v>
      </c>
      <c r="I227" s="15">
        <f t="shared" si="67"/>
        <v>-13063.827916264372</v>
      </c>
      <c r="J227" s="15">
        <f t="shared" si="67"/>
        <v>-12933.189637101728</v>
      </c>
      <c r="K227" s="15">
        <f t="shared" si="67"/>
        <v>-12803.857740730711</v>
      </c>
    </row>
    <row r="228" spans="1:11" ht="12.75">
      <c r="A228" s="13" t="s">
        <v>78</v>
      </c>
      <c r="B228" s="15">
        <f>-$D210</f>
        <v>-1439.01615</v>
      </c>
      <c r="C228" s="15">
        <f aca="true" t="shared" si="68" ref="C228:K228">-$D210</f>
        <v>-1439.01615</v>
      </c>
      <c r="D228" s="15">
        <f t="shared" si="68"/>
        <v>-1439.01615</v>
      </c>
      <c r="E228" s="15">
        <f t="shared" si="68"/>
        <v>-1439.01615</v>
      </c>
      <c r="F228" s="15">
        <f t="shared" si="68"/>
        <v>-1439.01615</v>
      </c>
      <c r="G228" s="15">
        <f t="shared" si="68"/>
        <v>-1439.01615</v>
      </c>
      <c r="H228" s="15">
        <f t="shared" si="68"/>
        <v>-1439.01615</v>
      </c>
      <c r="I228" s="15">
        <f t="shared" si="68"/>
        <v>-1439.01615</v>
      </c>
      <c r="J228" s="15">
        <f t="shared" si="68"/>
        <v>-1439.01615</v>
      </c>
      <c r="K228" s="15">
        <f t="shared" si="68"/>
        <v>-1439.01615</v>
      </c>
    </row>
    <row r="229" spans="1:11" ht="12.75">
      <c r="A229" s="13" t="s">
        <v>83</v>
      </c>
      <c r="B229" s="15">
        <f>-'Summary Page'!$B$30</f>
        <v>-4300</v>
      </c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2.75">
      <c r="A230" s="13" t="s">
        <v>86</v>
      </c>
      <c r="B230" s="15">
        <v>0</v>
      </c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s="13" t="s">
        <v>85</v>
      </c>
      <c r="B231" s="15">
        <f>-'Summary Page'!$B$32</f>
        <v>-7500</v>
      </c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" hidden="1">
      <c r="A232" s="13" t="s">
        <v>93</v>
      </c>
      <c r="B232" s="113">
        <f>IF(B204&gt;=1000,1000*B205*B208,B204*B205*B208)</f>
        <v>0</v>
      </c>
      <c r="C232" s="113">
        <f>IF(($B232/$B208)-B232&gt;=0.1,((($B232/$B208)-$B232)/$B$7),0)</f>
        <v>0</v>
      </c>
      <c r="D232" s="113">
        <f>IF(($B232/$B208)-B232-C232&gt;=0.1,((($B232/$B208)-$B232)/$B$7),0)</f>
        <v>0</v>
      </c>
      <c r="E232" s="113">
        <f>IF(($B232/$B208)-B232-C232-D232&gt;=0.1,((($B232/$B208)-$B232)/$B$7),0)</f>
        <v>0</v>
      </c>
      <c r="F232" s="113">
        <f>IF(($B232/$B208)-B232-C232-D232-E232&gt;=0.1,((($B232/$B208)-$B232)/$B$7),0)</f>
        <v>0</v>
      </c>
      <c r="G232" s="113">
        <f>IF(($B232/$B208)-B232-C232-D232-E232-F232&gt;=0.1,((($B232/$B208)-$B232)/$B$7),0)</f>
        <v>0</v>
      </c>
      <c r="H232" s="113">
        <f>IF(($B232/$B208)-B232-C232-D232-E232-F232-G232&gt;=0.1,((($B232/$B208)-$B232)/$B$7),0)</f>
        <v>0</v>
      </c>
      <c r="I232" s="113">
        <f>IF(($B232/$B208)-B232-C232-D232-E232-F232-G232-H232&gt;=0.1,((($B232/$B208)-$B232)/$B$7),0)</f>
        <v>0</v>
      </c>
      <c r="J232" s="113">
        <f>IF(($B232/$B208)-B232-C232-D232-E232-F232-G232-H232-I232&gt;=0.1,((($B232/$B208)-$B232)/$B$7),0)</f>
        <v>0</v>
      </c>
      <c r="K232" s="113">
        <f>IF(($B232/$B208)-B232-C232-D232-E232-F232-G232-H232-I232-J232&gt;=0.1,((($B232/$B208)-$B232)/$B$7),0)</f>
        <v>0</v>
      </c>
    </row>
    <row r="233" spans="1:11" ht="12" hidden="1">
      <c r="A233" s="13" t="s">
        <v>94</v>
      </c>
      <c r="B233" s="113">
        <f>IF(AND(B204&gt;=0,B204&lt;=2000),(B204-1000)*B206*B208,1000*B206*B208)</f>
        <v>0</v>
      </c>
      <c r="C233" s="113">
        <f>IF(($B233/$B208)-B233&gt;=0.1,((($B233/$B208)-$B233)/$B$7),0)</f>
        <v>0</v>
      </c>
      <c r="D233" s="113">
        <f>IF(($B233/$B208)-B233-C233&gt;=0.1,((($B233/$B208)-$B233)/$B$7),0)</f>
        <v>0</v>
      </c>
      <c r="E233" s="113">
        <f>IF(($B233/$B208)-B233-C233-D233&gt;=0.1,((($B233/$B208)-$B233)/$B$7),0)</f>
        <v>0</v>
      </c>
      <c r="F233" s="113">
        <f>IF(($B233/$B208)-B233-C233-D233-E233&gt;=0.1,((($B233/$B208)-$B233)/$B$7),0)</f>
        <v>0</v>
      </c>
      <c r="G233" s="113">
        <f>IF(($B233/$B208)-B233-C233-D233-E233-F233&gt;=0.1,((($B233/$B208)-$B233)/$B$7),0)</f>
        <v>0</v>
      </c>
      <c r="H233" s="113">
        <f>IF(($B233/$B208)-B233-C233-D233-E233-F233-G233&gt;=0.1,((($B233/$B208)-$B233)/$B$7),0)</f>
        <v>0</v>
      </c>
      <c r="I233" s="113">
        <f>IF(($B233/$B208)-B233-C233-D233-E233-F233-G233-H233&gt;=0.1,((($B233/$B208)-$B233)/$B$7),0)</f>
        <v>0</v>
      </c>
      <c r="J233" s="113">
        <f>IF(($B233/$B208)-B233-C233-D233-E233-F233-G233-H233-I233&gt;=0.1,((($B233/$B208)-$B233)/$B$7),0)</f>
        <v>0</v>
      </c>
      <c r="K233" s="113">
        <f>IF(($B233/$B208)-B233-C233-D233-E233-F233-G233-H233-I233-J233&gt;=0.1,((($B233/$B208)-$B233)/$B$7),0)</f>
        <v>0</v>
      </c>
    </row>
    <row r="234" spans="1:11" ht="12" hidden="1">
      <c r="A234" s="13" t="s">
        <v>95</v>
      </c>
      <c r="B234" s="113">
        <f>IF(AND(B204&gt;=0,B204&lt;=3000),(B204-2000)*B207*B208,1000*B207*B208)</f>
        <v>0</v>
      </c>
      <c r="C234" s="113">
        <f>IF(($B234/$B208)-B234&gt;=0.1,((($B234/$B208)-$B234)/$B$7),0)</f>
        <v>0</v>
      </c>
      <c r="D234" s="113">
        <f>IF(($B234/$B208)-B234-C234&gt;=0.1,((($B234/$B208)-$B234)/$B$7),0)</f>
        <v>0</v>
      </c>
      <c r="E234" s="113">
        <f>IF(($B234/$B208)-B234-C234-D234&gt;=0.1,((($B234/$B208)-$B234)/$B$7),0)</f>
        <v>0</v>
      </c>
      <c r="F234" s="113">
        <f>IF(($B234/$B208)-B234-C234-D234-E234&gt;=0.1,((($B234/$B208)-$B234)/$B$7),0)</f>
        <v>0</v>
      </c>
      <c r="G234" s="113">
        <f>IF(($B234/$B208)-B234-C234-D234-E234-F234&gt;=0.1,((($B234/$B208)-$B234)/$B$7),0)</f>
        <v>0</v>
      </c>
      <c r="H234" s="113">
        <f>IF(($B234/$B208)-B234-C234-D234-E234-F234-G234&gt;=0.1,((($B234/$B208)-$B234)/$B$7),0)</f>
        <v>0</v>
      </c>
      <c r="I234" s="113">
        <f>IF(($B234/$B208)-B234-C234-D234-E234-F234-G234-H234&gt;=0.1,((($B234/$B208)-$B234)/$B$7),0)</f>
        <v>0</v>
      </c>
      <c r="J234" s="113">
        <f>IF(($B234/$B208)-B234-C234-D234-E234-F234-G234-H234-I234&gt;=0.1,((($B234/$B208)-$B234)/$B$7),0)</f>
        <v>0</v>
      </c>
      <c r="K234" s="113">
        <f>IF(($B234/$B208)-B234-C234-D234-E234-F234-G234-H234-I234-J234&gt;=0.1,((($B234/$B208)-$B234)/$B$7),0)</f>
        <v>0</v>
      </c>
    </row>
    <row r="235" spans="1:12" ht="12.75">
      <c r="A235" s="13" t="s">
        <v>96</v>
      </c>
      <c r="B235" s="12">
        <f aca="true" t="shared" si="69" ref="B235:K235">IF(B233&lt;=0,0,B233)+IF(B234&lt;=0,0,B234)+B232</f>
        <v>0</v>
      </c>
      <c r="C235" s="12">
        <f t="shared" si="69"/>
        <v>0</v>
      </c>
      <c r="D235" s="12">
        <f t="shared" si="69"/>
        <v>0</v>
      </c>
      <c r="E235" s="12">
        <f t="shared" si="69"/>
        <v>0</v>
      </c>
      <c r="F235" s="12">
        <f t="shared" si="69"/>
        <v>0</v>
      </c>
      <c r="G235" s="12">
        <f t="shared" si="69"/>
        <v>0</v>
      </c>
      <c r="H235" s="12">
        <f t="shared" si="69"/>
        <v>0</v>
      </c>
      <c r="I235" s="12">
        <f t="shared" si="69"/>
        <v>0</v>
      </c>
      <c r="J235" s="12">
        <f t="shared" si="69"/>
        <v>0</v>
      </c>
      <c r="K235" s="12">
        <f t="shared" si="69"/>
        <v>0</v>
      </c>
      <c r="L235" s="12"/>
    </row>
    <row r="236" spans="1:11" ht="12.75">
      <c r="A236" t="s">
        <v>36</v>
      </c>
      <c r="B236" s="12">
        <f aca="true" t="shared" si="70" ref="B236:K236">IF($B$12="yes",(B235*0.2),0)</f>
        <v>0</v>
      </c>
      <c r="C236" s="12">
        <f t="shared" si="70"/>
        <v>0</v>
      </c>
      <c r="D236" s="12">
        <f t="shared" si="70"/>
        <v>0</v>
      </c>
      <c r="E236" s="12">
        <f t="shared" si="70"/>
        <v>0</v>
      </c>
      <c r="F236" s="12">
        <f t="shared" si="70"/>
        <v>0</v>
      </c>
      <c r="G236" s="12">
        <f t="shared" si="70"/>
        <v>0</v>
      </c>
      <c r="H236" s="12">
        <f t="shared" si="70"/>
        <v>0</v>
      </c>
      <c r="I236" s="12">
        <f t="shared" si="70"/>
        <v>0</v>
      </c>
      <c r="J236" s="12">
        <f t="shared" si="70"/>
        <v>0</v>
      </c>
      <c r="K236" s="12">
        <f t="shared" si="70"/>
        <v>0</v>
      </c>
    </row>
    <row r="237" spans="1:4" ht="12.75" hidden="1">
      <c r="A237" t="s">
        <v>54</v>
      </c>
      <c r="B237" s="12">
        <f>($D203-($B204*$B207)-(SUM($B236:$K236)))*$D206</f>
        <v>291780.3</v>
      </c>
      <c r="C237" s="12"/>
      <c r="D237" s="12"/>
    </row>
    <row r="238" spans="1:4" ht="12.75" hidden="1">
      <c r="A238" t="s">
        <v>56</v>
      </c>
      <c r="B238" s="12">
        <f>IF(B237&gt;B204*'Summary Page'!F8,B237,B204*'Summary Page'!F8)</f>
        <v>300000</v>
      </c>
      <c r="C238" s="12"/>
      <c r="D238" s="12"/>
    </row>
    <row r="239" spans="1:4" ht="12.75">
      <c r="A239" t="s">
        <v>53</v>
      </c>
      <c r="B239" s="12">
        <f>MIN(B237:B238)</f>
        <v>291780.3</v>
      </c>
      <c r="C239" s="12"/>
      <c r="D239" s="12"/>
    </row>
    <row r="240" spans="1:13" ht="12.75">
      <c r="A240" t="s">
        <v>38</v>
      </c>
      <c r="B240" s="16">
        <f>-$D203+B220+B225+B226+B227+B228+B229+B230+B231+B235+B236+B239</f>
        <v>-657632.6412964349</v>
      </c>
      <c r="C240" s="16">
        <f>C220+C225+C226+C227+C228+C235+C236+C239</f>
        <v>31571.819905846973</v>
      </c>
      <c r="D240" s="16">
        <f aca="true" t="shared" si="71" ref="D240:K240">D220+D225+D226+D227+D228+D235+D236+D239</f>
        <v>31489.045879228823</v>
      </c>
      <c r="E240" s="16">
        <f t="shared" si="71"/>
        <v>31828.767774119133</v>
      </c>
      <c r="F240" s="16">
        <f t="shared" si="71"/>
        <v>32071.24577611269</v>
      </c>
      <c r="G240" s="16">
        <f t="shared" si="71"/>
        <v>32216.57296571745</v>
      </c>
      <c r="H240" s="16">
        <f t="shared" si="71"/>
        <v>32420.792742731723</v>
      </c>
      <c r="I240" s="16">
        <f t="shared" si="71"/>
        <v>32580.033024316388</v>
      </c>
      <c r="J240" s="16">
        <f t="shared" si="71"/>
        <v>32746.372064971427</v>
      </c>
      <c r="K240" s="16">
        <f t="shared" si="71"/>
        <v>32919.90556019152</v>
      </c>
      <c r="M240" s="16"/>
    </row>
    <row r="241" spans="1:11" ht="12.75">
      <c r="A241" t="s">
        <v>39</v>
      </c>
      <c r="B241" s="16">
        <f>B240</f>
        <v>-657632.6412964349</v>
      </c>
      <c r="C241" s="16">
        <f>B241+C240</f>
        <v>-626060.821390588</v>
      </c>
      <c r="D241" s="16">
        <f aca="true" t="shared" si="72" ref="D241:K241">C241+D240</f>
        <v>-594571.7755113591</v>
      </c>
      <c r="E241" s="16">
        <f t="shared" si="72"/>
        <v>-562743.0077372399</v>
      </c>
      <c r="F241" s="16">
        <f t="shared" si="72"/>
        <v>-530671.7619611273</v>
      </c>
      <c r="G241" s="16">
        <f t="shared" si="72"/>
        <v>-498455.1889954098</v>
      </c>
      <c r="H241" s="16">
        <f t="shared" si="72"/>
        <v>-466034.39625267807</v>
      </c>
      <c r="I241" s="16">
        <f t="shared" si="72"/>
        <v>-433454.3632283617</v>
      </c>
      <c r="J241" s="16">
        <f t="shared" si="72"/>
        <v>-400707.9911633903</v>
      </c>
      <c r="K241" s="16">
        <f t="shared" si="72"/>
        <v>-367788.08560319874</v>
      </c>
    </row>
    <row r="242" spans="2:11" ht="12.75">
      <c r="B242" s="17"/>
      <c r="C242" s="17"/>
      <c r="D242" s="18"/>
      <c r="E242" s="18"/>
      <c r="F242" s="18"/>
      <c r="G242" s="19"/>
      <c r="H242" s="19"/>
      <c r="I242" s="17"/>
      <c r="J242" s="17"/>
      <c r="K242" s="17"/>
    </row>
    <row r="243" spans="1:11" ht="12.75">
      <c r="A243" s="20" t="s">
        <v>40</v>
      </c>
      <c r="B243" s="21">
        <f>(NPV($B$8,C240:K240))+$B$240</f>
        <v>-429148.8268811158</v>
      </c>
      <c r="C243" s="18"/>
      <c r="E243" s="18"/>
      <c r="F243" s="18"/>
      <c r="G243" s="19"/>
      <c r="H243" s="19"/>
      <c r="I243" s="17"/>
      <c r="J243" s="17"/>
      <c r="K243" s="17"/>
    </row>
    <row r="244" spans="1:11" ht="12.75">
      <c r="A244" s="22" t="s">
        <v>41</v>
      </c>
      <c r="B244" s="23">
        <f>IRR(B240:K240)</f>
        <v>-0.13784434704395687</v>
      </c>
      <c r="C244" s="18"/>
      <c r="D244" s="18"/>
      <c r="E244" s="18"/>
      <c r="F244" s="24"/>
      <c r="G244" s="19"/>
      <c r="H244" s="19"/>
      <c r="I244" s="17"/>
      <c r="J244" s="17"/>
      <c r="K244" s="17"/>
    </row>
    <row r="245" spans="1:11" ht="12.75">
      <c r="A245" s="25" t="s">
        <v>42</v>
      </c>
      <c r="B245" s="26" t="e">
        <f>COUNTIF(B241:K241,"&lt;0")+1-INDEX(B241:K241,COUNTIF(B241:K241,"&lt;0")+1)/INDEX(B240:K240,COUNTIF(B241:K241,"&lt;0")+1)</f>
        <v>#REF!</v>
      </c>
      <c r="C245" s="18"/>
      <c r="E245" s="18"/>
      <c r="F245" s="18"/>
      <c r="G245" s="19"/>
      <c r="H245" s="19"/>
      <c r="I245" s="17"/>
      <c r="J245" s="17"/>
      <c r="K245" s="17"/>
    </row>
    <row r="246" spans="1:11" ht="12.75">
      <c r="A246" s="27"/>
      <c r="B246" s="28"/>
      <c r="C246" s="18"/>
      <c r="E246" s="18"/>
      <c r="F246" s="18"/>
      <c r="G246" s="19"/>
      <c r="H246" s="19"/>
      <c r="I246" s="17"/>
      <c r="J246" s="17"/>
      <c r="K246" s="17"/>
    </row>
    <row r="247" ht="12.75">
      <c r="A247" s="7"/>
    </row>
    <row r="248" spans="1:7" ht="12.75">
      <c r="A248" s="29" t="s">
        <v>43</v>
      </c>
      <c r="F248" s="11"/>
      <c r="G248" s="11"/>
    </row>
    <row r="249" spans="1:12" ht="12.75">
      <c r="A249" s="20" t="s">
        <v>26</v>
      </c>
      <c r="B249" s="30">
        <v>2010</v>
      </c>
      <c r="C249" s="30">
        <v>2011</v>
      </c>
      <c r="D249" s="30">
        <v>2012</v>
      </c>
      <c r="E249" s="30">
        <v>2013</v>
      </c>
      <c r="F249" s="30">
        <v>2014</v>
      </c>
      <c r="G249" s="30">
        <v>2015</v>
      </c>
      <c r="H249" s="30">
        <v>2016</v>
      </c>
      <c r="I249" s="30">
        <v>2017</v>
      </c>
      <c r="J249" s="30">
        <v>2018</v>
      </c>
      <c r="K249" s="30">
        <v>2019</v>
      </c>
      <c r="L249" s="31">
        <v>2020</v>
      </c>
    </row>
    <row r="250" spans="1:12" ht="12.75">
      <c r="A250" s="2" t="s">
        <v>44</v>
      </c>
      <c r="B250" s="32">
        <v>6.2</v>
      </c>
      <c r="C250" s="32">
        <v>7.04</v>
      </c>
      <c r="D250" s="32">
        <v>7.24</v>
      </c>
      <c r="E250" s="32">
        <v>7.36</v>
      </c>
      <c r="F250" s="32">
        <v>7.5</v>
      </c>
      <c r="G250" s="32">
        <v>7.66</v>
      </c>
      <c r="H250" s="32">
        <v>7.81</v>
      </c>
      <c r="I250" s="32">
        <v>7.97</v>
      </c>
      <c r="J250" s="32">
        <v>8.13</v>
      </c>
      <c r="K250" s="32">
        <v>8.29</v>
      </c>
      <c r="L250" s="33">
        <v>8.45</v>
      </c>
    </row>
    <row r="251" spans="1:12" ht="12.75">
      <c r="A251" s="100" t="s">
        <v>45</v>
      </c>
      <c r="B251" s="105">
        <f>$D209</f>
        <v>0.117969</v>
      </c>
      <c r="C251" s="105">
        <f aca="true" t="shared" si="73" ref="C251:K251">($D209)*(1+$B212)^B217</f>
        <v>0.12032838000000001</v>
      </c>
      <c r="D251" s="105">
        <f t="shared" si="73"/>
        <v>0.1227349476</v>
      </c>
      <c r="E251" s="105">
        <f t="shared" si="73"/>
        <v>0.125189646552</v>
      </c>
      <c r="F251" s="105">
        <f t="shared" si="73"/>
        <v>0.12769343948304</v>
      </c>
      <c r="G251" s="105">
        <f t="shared" si="73"/>
        <v>0.1302473082727008</v>
      </c>
      <c r="H251" s="105">
        <f t="shared" si="73"/>
        <v>0.13285225443815482</v>
      </c>
      <c r="I251" s="105">
        <f t="shared" si="73"/>
        <v>0.1355092995269179</v>
      </c>
      <c r="J251" s="105">
        <f t="shared" si="73"/>
        <v>0.13821948551745628</v>
      </c>
      <c r="K251" s="105">
        <f t="shared" si="73"/>
        <v>0.1409838752278054</v>
      </c>
      <c r="L251" s="107">
        <f>K251*(1+$B$10)</f>
        <v>0.1438035527323615</v>
      </c>
    </row>
    <row r="252" spans="1:12" ht="12.75">
      <c r="A252" s="32"/>
      <c r="B252" s="36" t="s">
        <v>46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2"/>
      <c r="B253" s="36" t="s">
        <v>46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2" ht="12.75">
      <c r="A254" s="7"/>
      <c r="B254" s="3" t="s">
        <v>47</v>
      </c>
    </row>
  </sheetData>
  <sheetProtection/>
  <dataValidations count="1">
    <dataValidation type="list" allowBlank="1" showInputMessage="1" showErrorMessage="1" sqref="B254">
      <formula1>$G$90:$G$91</formula1>
    </dataValidation>
  </dataValidations>
  <printOptions/>
  <pageMargins left="0.75" right="0.75" top="1" bottom="1" header="0.5" footer="0.5"/>
  <pageSetup horizontalDpi="600" verticalDpi="600" orientation="landscape" scale="46" r:id="rId3"/>
  <headerFooter alignWithMargins="0">
    <oddHeader xml:space="preserve">&amp;CSGIP Staff Proposal Financial Analysis Workbook, Page &amp;P </oddHeader>
  </headerFooter>
  <rowBreaks count="4" manualBreakCount="4">
    <brk id="45" max="255" man="1"/>
    <brk id="94" max="255" man="1"/>
    <brk id="144" max="255" man="1"/>
    <brk id="19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0.28125" style="0" bestFit="1" customWidth="1"/>
    <col min="2" max="2" width="32.00390625" style="0" customWidth="1"/>
    <col min="3" max="3" width="28.421875" style="0" bestFit="1" customWidth="1"/>
    <col min="4" max="5" width="12.28125" style="0" bestFit="1" customWidth="1"/>
    <col min="6" max="6" width="13.57421875" style="0" customWidth="1"/>
    <col min="7" max="11" width="12.28125" style="0" bestFit="1" customWidth="1"/>
  </cols>
  <sheetData>
    <row r="1" spans="1:13" ht="12.75">
      <c r="A1" s="38" t="s">
        <v>0</v>
      </c>
      <c r="B1" s="81" t="str">
        <f>'Summary Page'!A15</f>
        <v>Microturbine - CHP (Biogas)</v>
      </c>
      <c r="C1" s="38" t="s">
        <v>1</v>
      </c>
      <c r="D1" s="41">
        <f>(D2*B2)-B27-B28-B29</f>
        <v>984717.8956565676</v>
      </c>
      <c r="E1" s="1"/>
      <c r="F1" s="111"/>
      <c r="L1" s="3"/>
      <c r="M1" s="3"/>
    </row>
    <row r="2" spans="1:13" ht="12.75">
      <c r="A2" s="38" t="s">
        <v>3</v>
      </c>
      <c r="B2" s="42">
        <f>VLOOKUP(B1,'Summary Page'!$A$7:$K$19,2,0)</f>
        <v>165</v>
      </c>
      <c r="C2" s="38" t="s">
        <v>4</v>
      </c>
      <c r="D2" s="41">
        <f>VLOOKUP(B1,'Summary Page'!$A$7:$K$19,3,0)</f>
        <v>5793.441791857986</v>
      </c>
      <c r="E2" s="1"/>
      <c r="F2" s="1"/>
      <c r="J2" s="3"/>
      <c r="L2" s="3"/>
      <c r="M2" s="3"/>
    </row>
    <row r="3" spans="1:13" ht="12.75">
      <c r="A3" s="38" t="s">
        <v>90</v>
      </c>
      <c r="B3" s="41">
        <f>VLOOKUP(B1,'Summary Page'!$A$7:$K$19,11,0)</f>
        <v>0</v>
      </c>
      <c r="C3" s="82" t="s">
        <v>6</v>
      </c>
      <c r="D3" s="83">
        <f>VLOOKUP(B1,'Summary Page'!$A$7:$K$19,4,0)</f>
        <v>0.086</v>
      </c>
      <c r="E3" s="1"/>
      <c r="J3" s="3"/>
      <c r="L3" s="3"/>
      <c r="M3" s="3"/>
    </row>
    <row r="4" spans="1:13" ht="12.75">
      <c r="A4" s="38" t="s">
        <v>91</v>
      </c>
      <c r="B4" s="41">
        <f>(VLOOKUP(B1,'Summary Page'!$A$7:$K$19,11,0))*'Summary Page'!$B$39</f>
        <v>0</v>
      </c>
      <c r="C4" s="85" t="s">
        <v>8</v>
      </c>
      <c r="D4" s="86">
        <f>VLOOKUP(B1,'Summary Page'!$A$7:$K$19,5,0)</f>
        <v>0.1</v>
      </c>
      <c r="E4" s="5"/>
      <c r="J4" s="3"/>
      <c r="L4" s="3"/>
      <c r="M4" s="3"/>
    </row>
    <row r="5" spans="1:13" ht="12.75">
      <c r="A5" s="38" t="s">
        <v>92</v>
      </c>
      <c r="B5" s="41">
        <f>(VLOOKUP(B1,'Summary Page'!$A$7:$K$19,11,0))*'Summary Page'!$B$40</f>
        <v>0</v>
      </c>
      <c r="C5" s="85" t="s">
        <v>10</v>
      </c>
      <c r="D5" s="86">
        <f>VLOOKUP(B1,'Summary Page'!$A$7:$K$19,8,0)</f>
        <v>0.252</v>
      </c>
      <c r="E5" s="5"/>
      <c r="G5" s="13"/>
      <c r="J5" s="3"/>
      <c r="L5" s="3"/>
      <c r="M5" s="3"/>
    </row>
    <row r="6" spans="1:13" ht="12.75">
      <c r="A6" s="39" t="s">
        <v>7</v>
      </c>
      <c r="B6" s="84">
        <f>'Summary Page'!$B$23</f>
        <v>0.25</v>
      </c>
      <c r="C6" s="85" t="s">
        <v>13</v>
      </c>
      <c r="D6" s="86">
        <f>VLOOKUP(B1,'Summary Page'!$A$7:$K$19,9,0)</f>
        <v>0.252</v>
      </c>
      <c r="J6" s="3"/>
      <c r="L6" s="3"/>
      <c r="M6" s="3"/>
    </row>
    <row r="7" spans="1:13" ht="12.75">
      <c r="A7" s="39" t="s">
        <v>9</v>
      </c>
      <c r="B7" s="87">
        <f>'Summary Page'!$B$24</f>
        <v>5</v>
      </c>
      <c r="C7" s="40" t="s">
        <v>15</v>
      </c>
      <c r="D7" s="88">
        <f>'Summary Page'!$B$27</f>
        <v>0.117969</v>
      </c>
      <c r="J7" s="3"/>
      <c r="L7" s="3"/>
      <c r="M7" s="3"/>
    </row>
    <row r="8" spans="1:13" ht="12.75">
      <c r="A8" s="38" t="s">
        <v>12</v>
      </c>
      <c r="B8" s="43">
        <f>'Summary Page'!$B$26</f>
        <v>0.05</v>
      </c>
      <c r="C8" s="38" t="s">
        <v>17</v>
      </c>
      <c r="D8" s="41">
        <f>'Summary Page'!$B$29</f>
        <v>1439.01615</v>
      </c>
      <c r="J8" s="3"/>
      <c r="L8" s="3"/>
      <c r="M8" s="3"/>
    </row>
    <row r="9" spans="1:13" ht="12.75">
      <c r="A9" s="38" t="s">
        <v>14</v>
      </c>
      <c r="B9" s="43">
        <f>'Summary Page'!$B$35</f>
        <v>0.01</v>
      </c>
      <c r="C9" s="38" t="s">
        <v>19</v>
      </c>
      <c r="D9" s="42">
        <f>'Summary Page'!$B$34</f>
        <v>8760</v>
      </c>
      <c r="J9" s="3"/>
      <c r="L9" s="3"/>
      <c r="M9" s="3"/>
    </row>
    <row r="10" spans="1:13" ht="12.75">
      <c r="A10" s="39" t="s">
        <v>16</v>
      </c>
      <c r="B10" s="43">
        <f>'Summary Page'!$B$28</f>
        <v>0.02</v>
      </c>
      <c r="C10" s="38" t="s">
        <v>20</v>
      </c>
      <c r="D10" s="90">
        <f>'Summary Page'!$B$33</f>
        <v>6.2</v>
      </c>
      <c r="J10" s="3"/>
      <c r="L10" s="3"/>
      <c r="M10" s="3"/>
    </row>
    <row r="11" spans="1:13" ht="12.75">
      <c r="A11" s="39" t="s">
        <v>18</v>
      </c>
      <c r="B11" s="43">
        <f>VLOOKUP(B1,'Summary Page'!$A$7:$K$19,10,0)</f>
        <v>0.8</v>
      </c>
      <c r="C11" s="38" t="s">
        <v>77</v>
      </c>
      <c r="D11" s="84">
        <f>'Summary Page'!$B$36</f>
        <v>0.8</v>
      </c>
      <c r="J11" s="3"/>
      <c r="L11" s="3"/>
      <c r="M11" s="3"/>
    </row>
    <row r="12" spans="1:13" ht="12.75">
      <c r="A12" s="39" t="s">
        <v>22</v>
      </c>
      <c r="B12" s="89" t="str">
        <f>'Summary Page'!$B$25</f>
        <v>Yes</v>
      </c>
      <c r="C12" s="39" t="s">
        <v>24</v>
      </c>
      <c r="D12" s="91">
        <f>D13/D5</f>
        <v>13540.242063492064</v>
      </c>
      <c r="L12" s="3"/>
      <c r="M12" s="3"/>
    </row>
    <row r="13" spans="3:13" ht="12.75">
      <c r="C13" s="39" t="s">
        <v>25</v>
      </c>
      <c r="D13" s="91">
        <f>'Summary Page'!$B$37</f>
        <v>3412.141</v>
      </c>
      <c r="L13" s="3"/>
      <c r="M13" s="3"/>
    </row>
    <row r="14" spans="5:13" ht="12.75">
      <c r="E14" s="9"/>
      <c r="F14" s="9"/>
      <c r="G14" s="9"/>
      <c r="L14" s="3"/>
      <c r="M14" s="3"/>
    </row>
    <row r="15" spans="1:11" ht="12.75">
      <c r="A15" s="10" t="s">
        <v>26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</row>
    <row r="17" spans="1:11" ht="12.75">
      <c r="A17" t="s">
        <v>27</v>
      </c>
      <c r="B17" s="11">
        <f>($B$2*$B$11*$D$9)</f>
        <v>1156320</v>
      </c>
      <c r="C17" s="11">
        <f aca="true" t="shared" si="0" ref="C17:K17">B17*(1-$B$9)</f>
        <v>1144756.8</v>
      </c>
      <c r="D17" s="11">
        <f t="shared" si="0"/>
        <v>1133309.232</v>
      </c>
      <c r="E17" s="11">
        <f t="shared" si="0"/>
        <v>1121976.13968</v>
      </c>
      <c r="F17" s="11">
        <f t="shared" si="0"/>
        <v>1110756.3782832</v>
      </c>
      <c r="G17" s="11">
        <f t="shared" si="0"/>
        <v>1099648.814500368</v>
      </c>
      <c r="H17" s="11">
        <f t="shared" si="0"/>
        <v>1088652.3263553642</v>
      </c>
      <c r="I17" s="11">
        <f t="shared" si="0"/>
        <v>1077765.8030918106</v>
      </c>
      <c r="J17" s="11">
        <f t="shared" si="0"/>
        <v>1066988.1450608924</v>
      </c>
      <c r="K17" s="11">
        <f t="shared" si="0"/>
        <v>1056318.2636102836</v>
      </c>
    </row>
    <row r="18" spans="1:11" ht="12.75">
      <c r="A18" t="s">
        <v>28</v>
      </c>
      <c r="B18" s="12">
        <f aca="true" t="shared" si="1" ref="B18:K18">B17*B49</f>
        <v>136409.91408000002</v>
      </c>
      <c r="C18" s="12">
        <f t="shared" si="1"/>
        <v>137746.73123798403</v>
      </c>
      <c r="D18" s="12">
        <f t="shared" si="1"/>
        <v>139096.64920411626</v>
      </c>
      <c r="E18" s="12">
        <f t="shared" si="1"/>
        <v>140459.7963663166</v>
      </c>
      <c r="F18" s="12">
        <f t="shared" si="1"/>
        <v>141836.3023707065</v>
      </c>
      <c r="G18" s="12">
        <f t="shared" si="1"/>
        <v>143226.2981339394</v>
      </c>
      <c r="H18" s="12">
        <f t="shared" si="1"/>
        <v>144629.91585565198</v>
      </c>
      <c r="I18" s="12">
        <f t="shared" si="1"/>
        <v>146047.28903103736</v>
      </c>
      <c r="J18" s="12">
        <f t="shared" si="1"/>
        <v>147478.55246354153</v>
      </c>
      <c r="K18" s="12">
        <f t="shared" si="1"/>
        <v>148923.84227768425</v>
      </c>
    </row>
    <row r="19" spans="1:11" ht="12.75">
      <c r="A19" t="s">
        <v>29</v>
      </c>
      <c r="B19" s="11">
        <f>($D$12*B17)/1000000</f>
        <v>15656.852702857143</v>
      </c>
      <c r="C19" s="11">
        <f>B19</f>
        <v>15656.852702857143</v>
      </c>
      <c r="D19" s="11">
        <f aca="true" t="shared" si="2" ref="D19:K19">C19</f>
        <v>15656.852702857143</v>
      </c>
      <c r="E19" s="11">
        <f t="shared" si="2"/>
        <v>15656.852702857143</v>
      </c>
      <c r="F19" s="11">
        <f t="shared" si="2"/>
        <v>15656.852702857143</v>
      </c>
      <c r="G19" s="11">
        <f t="shared" si="2"/>
        <v>15656.852702857143</v>
      </c>
      <c r="H19" s="11">
        <f t="shared" si="2"/>
        <v>15656.852702857143</v>
      </c>
      <c r="I19" s="11">
        <f t="shared" si="2"/>
        <v>15656.852702857143</v>
      </c>
      <c r="J19" s="11">
        <f t="shared" si="2"/>
        <v>15656.852702857143</v>
      </c>
      <c r="K19" s="11">
        <f t="shared" si="2"/>
        <v>15656.852702857143</v>
      </c>
    </row>
    <row r="20" spans="1:11" ht="12.75">
      <c r="A20" s="13" t="s">
        <v>30</v>
      </c>
      <c r="B20" s="11">
        <f>(B19*$D$6)-(B17/1000)*$D$13/1000</f>
        <v>0</v>
      </c>
      <c r="C20" s="11">
        <f aca="true" t="shared" si="3" ref="C20:K20">(B20)*(1-$B$9)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</row>
    <row r="21" spans="1:11" ht="12.75">
      <c r="A21" t="s">
        <v>31</v>
      </c>
      <c r="B21" s="14">
        <f>B20/(B19-(B17/1000)*$D$13/1000)</f>
        <v>0</v>
      </c>
      <c r="C21" s="14">
        <f aca="true" t="shared" si="4" ref="C21:K21">B21*(1-$B$9)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</row>
    <row r="22" spans="1:11" ht="12.75">
      <c r="A22" t="s">
        <v>32</v>
      </c>
      <c r="B22" s="11">
        <f>B20/$D$11</f>
        <v>0</v>
      </c>
      <c r="C22" s="11">
        <f aca="true" t="shared" si="5" ref="C22:K22">C20/$D$11</f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0</v>
      </c>
      <c r="K22" s="11">
        <f t="shared" si="5"/>
        <v>0</v>
      </c>
    </row>
    <row r="23" spans="1:11" ht="12.75">
      <c r="A23" t="s">
        <v>33</v>
      </c>
      <c r="B23" s="12">
        <f aca="true" t="shared" si="6" ref="B23:K23">B22*B48</f>
        <v>0</v>
      </c>
      <c r="C23" s="12">
        <f t="shared" si="6"/>
        <v>0</v>
      </c>
      <c r="D23" s="12">
        <f t="shared" si="6"/>
        <v>0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</row>
    <row r="24" spans="1:11" ht="12.75">
      <c r="A24" t="s">
        <v>34</v>
      </c>
      <c r="B24" s="15">
        <f aca="true" t="shared" si="7" ref="B24:K24">IF($B$1="Microturbine - CHP (Biogas)",0,-B19*B48)</f>
        <v>0</v>
      </c>
      <c r="C24" s="15">
        <f t="shared" si="7"/>
        <v>0</v>
      </c>
      <c r="D24" s="15">
        <f t="shared" si="7"/>
        <v>0</v>
      </c>
      <c r="E24" s="15">
        <f t="shared" si="7"/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</row>
    <row r="25" spans="1:11" ht="12.75">
      <c r="A25" t="s">
        <v>35</v>
      </c>
      <c r="B25" s="15">
        <f>B17*(-$D$3)</f>
        <v>-99443.51999999999</v>
      </c>
      <c r="C25" s="15">
        <f aca="true" t="shared" si="8" ref="C25:K25">C17*(-$D$3)</f>
        <v>-98449.0848</v>
      </c>
      <c r="D25" s="15">
        <f t="shared" si="8"/>
        <v>-97464.593952</v>
      </c>
      <c r="E25" s="15">
        <f t="shared" si="8"/>
        <v>-96489.94801247999</v>
      </c>
      <c r="F25" s="15">
        <f t="shared" si="8"/>
        <v>-95525.0485323552</v>
      </c>
      <c r="G25" s="15">
        <f t="shared" si="8"/>
        <v>-94569.79804703164</v>
      </c>
      <c r="H25" s="15">
        <f t="shared" si="8"/>
        <v>-93624.10006656131</v>
      </c>
      <c r="I25" s="15">
        <f t="shared" si="8"/>
        <v>-92687.8590658957</v>
      </c>
      <c r="J25" s="15">
        <f t="shared" si="8"/>
        <v>-91760.98047523675</v>
      </c>
      <c r="K25" s="15">
        <f t="shared" si="8"/>
        <v>-90843.37067048438</v>
      </c>
    </row>
    <row r="26" spans="1:11" ht="12.75">
      <c r="A26" s="13" t="s">
        <v>78</v>
      </c>
      <c r="B26" s="15">
        <f>-$D$8</f>
        <v>-1439.01615</v>
      </c>
      <c r="C26" s="15">
        <f aca="true" t="shared" si="9" ref="C26:K26">-$D$8</f>
        <v>-1439.01615</v>
      </c>
      <c r="D26" s="15">
        <f t="shared" si="9"/>
        <v>-1439.01615</v>
      </c>
      <c r="E26" s="15">
        <f t="shared" si="9"/>
        <v>-1439.01615</v>
      </c>
      <c r="F26" s="15">
        <f t="shared" si="9"/>
        <v>-1439.01615</v>
      </c>
      <c r="G26" s="15">
        <f t="shared" si="9"/>
        <v>-1439.01615</v>
      </c>
      <c r="H26" s="15">
        <f t="shared" si="9"/>
        <v>-1439.01615</v>
      </c>
      <c r="I26" s="15">
        <f t="shared" si="9"/>
        <v>-1439.01615</v>
      </c>
      <c r="J26" s="15">
        <f t="shared" si="9"/>
        <v>-1439.01615</v>
      </c>
      <c r="K26" s="15">
        <f t="shared" si="9"/>
        <v>-1439.01615</v>
      </c>
    </row>
    <row r="27" spans="1:11" ht="12.75">
      <c r="A27" s="13" t="s">
        <v>83</v>
      </c>
      <c r="B27" s="15">
        <f>-'Summary Page'!$B$30</f>
        <v>-4300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3" t="s">
        <v>86</v>
      </c>
      <c r="B28" s="15">
        <f>-'Summary Page'!$B$31</f>
        <v>-17000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3" t="s">
        <v>85</v>
      </c>
      <c r="B29" s="15">
        <f>-'Summary Page'!$B$32</f>
        <v>-7500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" hidden="1">
      <c r="A30" s="13" t="s">
        <v>93</v>
      </c>
      <c r="B30" s="113">
        <f>IF(B2&gt;=1000,1000*B3*B6,B2*B3*B6)</f>
        <v>0</v>
      </c>
      <c r="C30" s="113">
        <f>IF(($B30/$B6)-B30&gt;=0.1,((($B30/$B6)-$B30)/$B$7),0)</f>
        <v>0</v>
      </c>
      <c r="D30" s="113">
        <f>IF(($B30/$B6)-B30-C30&gt;=0.1,((($B30/$B6)-$B30)/$B$7),0)</f>
        <v>0</v>
      </c>
      <c r="E30" s="113">
        <f>IF(($B30/$B6)-B30-C30-D30&gt;=0.1,((($B30/$B6)-$B30)/$B$7),0)</f>
        <v>0</v>
      </c>
      <c r="F30" s="113">
        <f>IF(($B30/$B6)-B30-C30-D30-E30&gt;=0.1,((($B30/$B6)-$B30)/$B$7),0)</f>
        <v>0</v>
      </c>
      <c r="G30" s="113">
        <f>IF(($B30/$B6)-B30-C30-D30-E30-F30&gt;=0.1,((($B30/$B6)-$B30)/$B$7),0)</f>
        <v>0</v>
      </c>
      <c r="H30" s="113">
        <f>IF(($B30/$B6)-B30-C30-D30-E30-F30-G30&gt;=0.1,((($B30/$B6)-$B30)/$B$7),0)</f>
        <v>0</v>
      </c>
      <c r="I30" s="113">
        <f>IF(($B30/$B6)-B30-C30-D30-E30-F30-G30-H30&gt;=0.1,((($B30/$B6)-$B30)/$B$7),0)</f>
        <v>0</v>
      </c>
      <c r="J30" s="113">
        <f>IF(($B30/$B6)-B30-C30-D30-E30-F30-G30-H30-I30&gt;=0.1,((($B30/$B6)-$B30)/$B$7),0)</f>
        <v>0</v>
      </c>
      <c r="K30" s="113">
        <f>IF(($B30/$B6)-B30-C30-D30-E30-F30-G30-H30-I30-J30&gt;=0.1,((($B30/$B6)-$B30)/$B$7),0)</f>
        <v>0</v>
      </c>
    </row>
    <row r="31" spans="1:11" ht="12" hidden="1">
      <c r="A31" s="13" t="s">
        <v>94</v>
      </c>
      <c r="B31" s="113">
        <f>IF(AND(B2&gt;=0,B2&lt;=2000),(B2-1000)*B4*B6,1000*B4*B6)</f>
        <v>0</v>
      </c>
      <c r="C31" s="113">
        <f>IF(($B31/$B6)-B31&gt;=0.1,((($B31/$B6)-$B31)/$B$7),0)</f>
        <v>0</v>
      </c>
      <c r="D31" s="113">
        <f>IF(($B31/$B6)-B31-C31&gt;=0.1,((($B31/$B6)-$B31)/$B$7),0)</f>
        <v>0</v>
      </c>
      <c r="E31" s="113">
        <f>IF(($B31/$B6)-B31-C31-D31&gt;=0.1,((($B31/$B6)-$B31)/$B$7),0)</f>
        <v>0</v>
      </c>
      <c r="F31" s="113">
        <f>IF(($B31/$B6)-B31-C31-D31-E31&gt;=0.1,((($B31/$B6)-$B31)/$B$7),0)</f>
        <v>0</v>
      </c>
      <c r="G31" s="113">
        <f>IF(($B31/$B6)-B31-C31-D31-E31-F31&gt;=0.1,((($B31/$B6)-$B31)/$B$7),0)</f>
        <v>0</v>
      </c>
      <c r="H31" s="113">
        <f>IF(($B31/$B6)-B31-C31-D31-E31-F31-G31&gt;=0.1,((($B31/$B6)-$B31)/$B$7),0)</f>
        <v>0</v>
      </c>
      <c r="I31" s="113">
        <f>IF(($B31/$B6)-B31-C31-D31-E31-F31-G31-H31&gt;=0.1,((($B31/$B6)-$B31)/$B$7),0)</f>
        <v>0</v>
      </c>
      <c r="J31" s="113">
        <f>IF(($B31/$B6)-B31-C31-D31-E31-F31-G31-H31-I31&gt;=0.1,((($B31/$B6)-$B31)/$B$7),0)</f>
        <v>0</v>
      </c>
      <c r="K31" s="113">
        <f>IF(($B31/$B6)-B31-C31-D31-E31-F31-G31-H31-I31-J31&gt;=0.1,((($B31/$B6)-$B31)/$B$7),0)</f>
        <v>0</v>
      </c>
    </row>
    <row r="32" spans="1:11" ht="12" hidden="1">
      <c r="A32" s="13" t="s">
        <v>95</v>
      </c>
      <c r="B32" s="113">
        <f>IF(AND(B2&gt;=0,B2&lt;=3000),(B2-2000)*B5*B6,1000*B5*B6)</f>
        <v>0</v>
      </c>
      <c r="C32" s="113">
        <f>IF(($B32/$B6)-B32&gt;=0.1,((($B32/$B6)-$B32)/$B$7),0)</f>
        <v>0</v>
      </c>
      <c r="D32" s="113">
        <f>IF(($B32/$B6)-B32-C32&gt;=0.1,((($B32/$B6)-$B32)/$B$7),0)</f>
        <v>0</v>
      </c>
      <c r="E32" s="113">
        <f>IF(($B32/$B6)-B32-C32-D32&gt;=0.1,((($B32/$B6)-$B32)/$B$7),0)</f>
        <v>0</v>
      </c>
      <c r="F32" s="113">
        <f>IF(($B32/$B6)-B32-C32-D32-E32&gt;=0.1,((($B32/$B6)-$B32)/$B$7),0)</f>
        <v>0</v>
      </c>
      <c r="G32" s="113">
        <f>IF(($B32/$B6)-B32-C32-D32-E32-F32&gt;=0.1,((($B32/$B6)-$B32)/$B$7),0)</f>
        <v>0</v>
      </c>
      <c r="H32" s="113">
        <f>IF(($B32/$B6)-B32-C32-D32-E32-F32-G32&gt;=0.1,((($B32/$B6)-$B32)/$B$7),0)</f>
        <v>0</v>
      </c>
      <c r="I32" s="113">
        <f>IF(($B32/$B6)-B32-C32-D32-E32-F32-G32-H32&gt;=0.1,((($B32/$B6)-$B32)/$B$7),0)</f>
        <v>0</v>
      </c>
      <c r="J32" s="113">
        <f>IF(($B32/$B6)-B32-C32-D32-E32-F32-G32-H32-I32&gt;=0.1,((($B32/$B6)-$B32)/$B$7),0)</f>
        <v>0</v>
      </c>
      <c r="K32" s="113">
        <f>IF(($B32/$B6)-B32-C32-D32-E32-F32-G32-H32-I32-J32&gt;=0.1,((($B32/$B6)-$B32)/$B$7),0)</f>
        <v>0</v>
      </c>
    </row>
    <row r="33" spans="1:11" ht="12.75">
      <c r="A33" s="13" t="s">
        <v>96</v>
      </c>
      <c r="B33" s="12">
        <f aca="true" t="shared" si="10" ref="B33:K33">IF(B31&lt;=0,0,B31)+IF(B32&lt;=0,0,B32)+B30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 t="shared" si="10"/>
        <v>0</v>
      </c>
    </row>
    <row r="34" spans="1:11" ht="12.75">
      <c r="A34" t="s">
        <v>36</v>
      </c>
      <c r="B34" s="12">
        <f aca="true" t="shared" si="11" ref="B34:K34">IF($B$12="yes",(B33*0.2),0)</f>
        <v>0</v>
      </c>
      <c r="C34" s="12">
        <f t="shared" si="11"/>
        <v>0</v>
      </c>
      <c r="D34" s="12">
        <f t="shared" si="11"/>
        <v>0</v>
      </c>
      <c r="E34" s="12">
        <f t="shared" si="11"/>
        <v>0</v>
      </c>
      <c r="F34" s="12">
        <f t="shared" si="11"/>
        <v>0</v>
      </c>
      <c r="G34" s="12">
        <f t="shared" si="11"/>
        <v>0</v>
      </c>
      <c r="H34" s="12">
        <f t="shared" si="11"/>
        <v>0</v>
      </c>
      <c r="I34" s="12">
        <f t="shared" si="11"/>
        <v>0</v>
      </c>
      <c r="J34" s="12">
        <f t="shared" si="11"/>
        <v>0</v>
      </c>
      <c r="K34" s="12">
        <f t="shared" si="11"/>
        <v>0</v>
      </c>
    </row>
    <row r="35" spans="1:4" ht="12.75" hidden="1">
      <c r="A35" t="s">
        <v>54</v>
      </c>
      <c r="B35" s="12">
        <f>((D1)-SUM(B33:K34))*D4</f>
        <v>98471.78956565677</v>
      </c>
      <c r="C35" s="12"/>
      <c r="D35" s="12"/>
    </row>
    <row r="36" spans="1:4" ht="12.75" hidden="1">
      <c r="A36" t="s">
        <v>55</v>
      </c>
      <c r="B36" s="12">
        <f>IF(B1='Summary Page'!A14,'Summary Page'!F14*NG_Technologies!B2,((D1)-SUM(B33:K34))*D4)</f>
        <v>98471.78956565677</v>
      </c>
      <c r="C36" s="12"/>
      <c r="D36" s="12"/>
    </row>
    <row r="37" spans="1:4" ht="12.75">
      <c r="A37" t="s">
        <v>53</v>
      </c>
      <c r="B37" s="12">
        <f>MIN(B35:B36)</f>
        <v>98471.78956565677</v>
      </c>
      <c r="C37" s="12"/>
      <c r="D37" s="12"/>
    </row>
    <row r="38" spans="1:13" ht="12.75">
      <c r="A38" t="s">
        <v>38</v>
      </c>
      <c r="B38" s="16">
        <f>-$D$1+B18+B23+B24+B25+B26+B27+B28+B29+B33+B34+B37</f>
        <v>-879518.7281609109</v>
      </c>
      <c r="C38" s="16">
        <f>C18+C23+C24+C25+C26+C33+C34+C37</f>
        <v>37858.63028798403</v>
      </c>
      <c r="D38" s="16">
        <f aca="true" t="shared" si="12" ref="D38:K38">D18+D23+D24+D25+D26+D33+D34+D37</f>
        <v>40193.03910211626</v>
      </c>
      <c r="E38" s="16">
        <f t="shared" si="12"/>
        <v>42530.832203836595</v>
      </c>
      <c r="F38" s="16">
        <f t="shared" si="12"/>
        <v>44872.237688351284</v>
      </c>
      <c r="G38" s="16">
        <f t="shared" si="12"/>
        <v>47217.483936907745</v>
      </c>
      <c r="H38" s="16">
        <f t="shared" si="12"/>
        <v>49566.79963909067</v>
      </c>
      <c r="I38" s="16">
        <f t="shared" si="12"/>
        <v>51920.41381514166</v>
      </c>
      <c r="J38" s="16">
        <f t="shared" si="12"/>
        <v>54278.55583830478</v>
      </c>
      <c r="K38" s="16">
        <f t="shared" si="12"/>
        <v>56641.45545719987</v>
      </c>
      <c r="M38" s="16"/>
    </row>
    <row r="39" spans="1:11" ht="12.75">
      <c r="A39" t="s">
        <v>39</v>
      </c>
      <c r="B39" s="16">
        <f>B38</f>
        <v>-879518.7281609109</v>
      </c>
      <c r="C39" s="16">
        <f>B39+C38</f>
        <v>-841660.0978729269</v>
      </c>
      <c r="D39" s="16">
        <f aca="true" t="shared" si="13" ref="D39:K39">C39+D38</f>
        <v>-801467.0587708106</v>
      </c>
      <c r="E39" s="16">
        <f t="shared" si="13"/>
        <v>-758936.226566974</v>
      </c>
      <c r="F39" s="16">
        <f t="shared" si="13"/>
        <v>-714063.9888786227</v>
      </c>
      <c r="G39" s="16">
        <f t="shared" si="13"/>
        <v>-666846.5049417149</v>
      </c>
      <c r="H39" s="16">
        <f t="shared" si="13"/>
        <v>-617279.7053026243</v>
      </c>
      <c r="I39" s="16">
        <f t="shared" si="13"/>
        <v>-565359.2914874826</v>
      </c>
      <c r="J39" s="16">
        <f t="shared" si="13"/>
        <v>-511080.7356491778</v>
      </c>
      <c r="K39" s="16">
        <f t="shared" si="13"/>
        <v>-454439.2801919779</v>
      </c>
    </row>
    <row r="40" spans="2:11" ht="12.75">
      <c r="B40" s="17"/>
      <c r="C40" s="17"/>
      <c r="D40" s="18"/>
      <c r="E40" s="18"/>
      <c r="F40" s="18"/>
      <c r="G40" s="19"/>
      <c r="H40" s="19"/>
      <c r="I40" s="17"/>
      <c r="J40" s="17"/>
      <c r="K40" s="17"/>
    </row>
    <row r="41" spans="1:11" ht="12.75">
      <c r="A41" s="20" t="s">
        <v>40</v>
      </c>
      <c r="B41" s="21">
        <f>(NPV($B$8,C38:K38))+$B$38</f>
        <v>-549218.4232429864</v>
      </c>
      <c r="C41" s="18"/>
      <c r="E41" s="18"/>
      <c r="F41" s="18"/>
      <c r="G41" s="19"/>
      <c r="H41" s="19"/>
      <c r="I41" s="17"/>
      <c r="J41" s="17"/>
      <c r="K41" s="17"/>
    </row>
    <row r="42" spans="1:11" ht="12.75">
      <c r="A42" s="22" t="s">
        <v>41</v>
      </c>
      <c r="B42" s="23">
        <f>IRR(B38:K38)</f>
        <v>-0.11905716264490351</v>
      </c>
      <c r="C42" s="18"/>
      <c r="D42" s="18"/>
      <c r="E42" s="18"/>
      <c r="F42" s="24"/>
      <c r="G42" s="19"/>
      <c r="H42" s="19"/>
      <c r="I42" s="17"/>
      <c r="J42" s="17"/>
      <c r="K42" s="17"/>
    </row>
    <row r="43" spans="1:11" ht="12.75">
      <c r="A43" s="25" t="s">
        <v>42</v>
      </c>
      <c r="B43" s="26" t="e">
        <f>COUNTIF(B39:K39,"&lt;0")+1-INDEX(B39:K39,COUNTIF(B39:K39,"&lt;0")+1)/INDEX(B38:K38,COUNTIF(B39:K39,"&lt;0")+1)</f>
        <v>#REF!</v>
      </c>
      <c r="C43" s="18"/>
      <c r="E43" s="18"/>
      <c r="F43" s="18"/>
      <c r="G43" s="19"/>
      <c r="H43" s="19"/>
      <c r="I43" s="17"/>
      <c r="J43" s="17"/>
      <c r="K43" s="17"/>
    </row>
    <row r="44" spans="1:11" ht="12.75">
      <c r="A44" s="27"/>
      <c r="B44" s="28"/>
      <c r="C44" s="18"/>
      <c r="E44" s="18"/>
      <c r="F44" s="18"/>
      <c r="G44" s="19"/>
      <c r="H44" s="19"/>
      <c r="I44" s="17"/>
      <c r="J44" s="17"/>
      <c r="K44" s="17"/>
    </row>
    <row r="45" ht="12.75">
      <c r="A45" s="7"/>
    </row>
    <row r="46" spans="1:7" ht="12.75">
      <c r="A46" s="29" t="s">
        <v>43</v>
      </c>
      <c r="F46" s="11"/>
      <c r="G46" s="11"/>
    </row>
    <row r="47" spans="1:12" ht="12.75">
      <c r="A47" s="20" t="s">
        <v>26</v>
      </c>
      <c r="B47" s="30">
        <v>2010</v>
      </c>
      <c r="C47" s="30">
        <v>2011</v>
      </c>
      <c r="D47" s="30">
        <v>2012</v>
      </c>
      <c r="E47" s="30">
        <v>2013</v>
      </c>
      <c r="F47" s="30">
        <v>2014</v>
      </c>
      <c r="G47" s="30">
        <v>2015</v>
      </c>
      <c r="H47" s="30">
        <v>2016</v>
      </c>
      <c r="I47" s="30">
        <v>2017</v>
      </c>
      <c r="J47" s="30">
        <v>2018</v>
      </c>
      <c r="K47" s="30">
        <v>2019</v>
      </c>
      <c r="L47" s="31">
        <v>2020</v>
      </c>
    </row>
    <row r="48" spans="1:12" ht="12.75">
      <c r="A48" s="2" t="s">
        <v>44</v>
      </c>
      <c r="B48" s="32">
        <v>6.2</v>
      </c>
      <c r="C48" s="32">
        <v>7.04</v>
      </c>
      <c r="D48" s="32">
        <v>7.24</v>
      </c>
      <c r="E48" s="32">
        <v>7.36</v>
      </c>
      <c r="F48" s="32">
        <v>7.5</v>
      </c>
      <c r="G48" s="32">
        <v>7.66</v>
      </c>
      <c r="H48" s="32">
        <v>7.81</v>
      </c>
      <c r="I48" s="32">
        <v>7.97</v>
      </c>
      <c r="J48" s="32">
        <v>8.13</v>
      </c>
      <c r="K48" s="32">
        <v>8.29</v>
      </c>
      <c r="L48" s="33">
        <v>8.45</v>
      </c>
    </row>
    <row r="49" spans="1:12" ht="12.75">
      <c r="A49" s="6" t="s">
        <v>45</v>
      </c>
      <c r="B49" s="34">
        <f>$D$7</f>
        <v>0.117969</v>
      </c>
      <c r="C49" s="34">
        <f>($D$7)*(1+$B$10)^B15</f>
        <v>0.12032838000000001</v>
      </c>
      <c r="D49" s="34">
        <f>($D$7)*(1+$B$10)^C15</f>
        <v>0.1227349476</v>
      </c>
      <c r="E49" s="34">
        <f>($D$7)*(1+$B$10)^D15</f>
        <v>0.125189646552</v>
      </c>
      <c r="F49" s="34">
        <f aca="true" t="shared" si="14" ref="F49:L49">E49*(1+$B$10)</f>
        <v>0.12769343948304</v>
      </c>
      <c r="G49" s="34">
        <f t="shared" si="14"/>
        <v>0.13024730827270078</v>
      </c>
      <c r="H49" s="34">
        <f t="shared" si="14"/>
        <v>0.1328522544381548</v>
      </c>
      <c r="I49" s="34">
        <f t="shared" si="14"/>
        <v>0.1355092995269179</v>
      </c>
      <c r="J49" s="34">
        <f t="shared" si="14"/>
        <v>0.13821948551745625</v>
      </c>
      <c r="K49" s="34">
        <f t="shared" si="14"/>
        <v>0.14098387522780537</v>
      </c>
      <c r="L49" s="107">
        <f t="shared" si="14"/>
        <v>0.14380355273236148</v>
      </c>
    </row>
    <row r="50" spans="1:12" ht="12.75">
      <c r="A50" s="92"/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34"/>
    </row>
    <row r="51" spans="1:12" ht="12.75">
      <c r="A51" s="92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34"/>
    </row>
    <row r="52" spans="1:13" ht="12.75">
      <c r="A52" s="38" t="s">
        <v>0</v>
      </c>
      <c r="B52" s="81" t="str">
        <f>'Summary Page'!A17</f>
        <v>IC Engine - CHP (Biogas)</v>
      </c>
      <c r="C52" s="38" t="s">
        <v>1</v>
      </c>
      <c r="D52" s="41">
        <f>(D53*B53)-B78-B79-B80</f>
        <v>3886305.2382758325</v>
      </c>
      <c r="E52" s="1"/>
      <c r="L52" s="3"/>
      <c r="M52" s="3"/>
    </row>
    <row r="53" spans="1:13" ht="12.75">
      <c r="A53" s="38" t="s">
        <v>3</v>
      </c>
      <c r="B53" s="42">
        <f>VLOOKUP(B52,'Summary Page'!$A$7:$K$19,2,0)</f>
        <v>800</v>
      </c>
      <c r="C53" s="38" t="s">
        <v>4</v>
      </c>
      <c r="D53" s="41">
        <f>VLOOKUP(B52,'Summary Page'!$A$7:$K$19,3,0)</f>
        <v>4821.8815478447905</v>
      </c>
      <c r="E53" s="1"/>
      <c r="J53" s="3"/>
      <c r="L53" s="3"/>
      <c r="M53" s="3"/>
    </row>
    <row r="54" spans="1:13" ht="12.75">
      <c r="A54" s="38" t="s">
        <v>90</v>
      </c>
      <c r="B54" s="41">
        <f>VLOOKUP(B52,'Summary Page'!$A$7:$K$19,11,0)</f>
        <v>0</v>
      </c>
      <c r="C54" s="82" t="s">
        <v>6</v>
      </c>
      <c r="D54" s="83">
        <f>VLOOKUP(B52,'Summary Page'!$A$7:$K$19,4,0)</f>
        <v>0.054</v>
      </c>
      <c r="E54" s="1"/>
      <c r="J54" s="3"/>
      <c r="L54" s="3"/>
      <c r="M54" s="3"/>
    </row>
    <row r="55" spans="1:13" ht="12.75">
      <c r="A55" s="38" t="s">
        <v>91</v>
      </c>
      <c r="B55" s="41">
        <f>(VLOOKUP(B52,'Summary Page'!$A$7:$K$19,11,0))*'Summary Page'!$B$39</f>
        <v>0</v>
      </c>
      <c r="C55" s="85" t="s">
        <v>8</v>
      </c>
      <c r="D55" s="86">
        <f>VLOOKUP(B52,'Summary Page'!$A$7:$K$19,5,0)</f>
        <v>0.1</v>
      </c>
      <c r="E55" s="5"/>
      <c r="J55" s="3"/>
      <c r="L55" s="3"/>
      <c r="M55" s="3"/>
    </row>
    <row r="56" spans="1:13" ht="12.75">
      <c r="A56" s="38" t="s">
        <v>92</v>
      </c>
      <c r="B56" s="41">
        <f>(VLOOKUP(B52,'Summary Page'!$A$7:$K$19,11,0))*'Summary Page'!$B$40</f>
        <v>0</v>
      </c>
      <c r="C56" s="85" t="s">
        <v>10</v>
      </c>
      <c r="D56" s="86">
        <f>VLOOKUP(B52,'Summary Page'!$A$7:$K$19,8,0)</f>
        <v>0.35</v>
      </c>
      <c r="E56" s="5"/>
      <c r="F56" s="111"/>
      <c r="J56" s="3"/>
      <c r="L56" s="3"/>
      <c r="M56" s="3"/>
    </row>
    <row r="57" spans="1:13" ht="12.75">
      <c r="A57" s="39" t="s">
        <v>7</v>
      </c>
      <c r="B57" s="84">
        <f>'Summary Page'!$B$23</f>
        <v>0.25</v>
      </c>
      <c r="C57" s="85" t="s">
        <v>13</v>
      </c>
      <c r="D57" s="86">
        <f>VLOOKUP(B52,'Summary Page'!$A$7:$K$19,9,0)</f>
        <v>0.35</v>
      </c>
      <c r="J57" s="3"/>
      <c r="L57" s="3"/>
      <c r="M57" s="3"/>
    </row>
    <row r="58" spans="1:13" ht="12.75">
      <c r="A58" s="39" t="s">
        <v>9</v>
      </c>
      <c r="B58" s="87">
        <f>'Summary Page'!$B$24</f>
        <v>5</v>
      </c>
      <c r="C58" s="40" t="s">
        <v>15</v>
      </c>
      <c r="D58" s="88">
        <f>'Summary Page'!$B$27</f>
        <v>0.117969</v>
      </c>
      <c r="J58" s="3"/>
      <c r="L58" s="3"/>
      <c r="M58" s="3"/>
    </row>
    <row r="59" spans="1:13" ht="12.75">
      <c r="A59" s="38" t="s">
        <v>12</v>
      </c>
      <c r="B59" s="43">
        <f>'Summary Page'!$B$26</f>
        <v>0.05</v>
      </c>
      <c r="C59" s="38" t="s">
        <v>17</v>
      </c>
      <c r="D59" s="41">
        <f>'Summary Page'!$B$29</f>
        <v>1439.01615</v>
      </c>
      <c r="J59" s="3"/>
      <c r="L59" s="3"/>
      <c r="M59" s="3"/>
    </row>
    <row r="60" spans="1:13" ht="12.75">
      <c r="A60" s="38" t="s">
        <v>14</v>
      </c>
      <c r="B60" s="43">
        <f>'Summary Page'!$B$35</f>
        <v>0.01</v>
      </c>
      <c r="C60" s="38" t="s">
        <v>19</v>
      </c>
      <c r="D60" s="42">
        <f>'Summary Page'!$B$34</f>
        <v>8760</v>
      </c>
      <c r="J60" s="3"/>
      <c r="L60" s="3"/>
      <c r="M60" s="3"/>
    </row>
    <row r="61" spans="1:13" ht="12.75">
      <c r="A61" s="39" t="s">
        <v>16</v>
      </c>
      <c r="B61" s="43">
        <f>'Summary Page'!$B$28</f>
        <v>0.02</v>
      </c>
      <c r="C61" s="38" t="s">
        <v>20</v>
      </c>
      <c r="D61" s="90">
        <f>'Summary Page'!$B$33</f>
        <v>6.2</v>
      </c>
      <c r="J61" s="3"/>
      <c r="L61" s="3"/>
      <c r="M61" s="3"/>
    </row>
    <row r="62" spans="1:13" ht="12.75">
      <c r="A62" s="39" t="s">
        <v>18</v>
      </c>
      <c r="B62" s="43">
        <f>VLOOKUP(B52,'Summary Page'!$A$7:$K$19,10,0)</f>
        <v>0.8</v>
      </c>
      <c r="C62" s="38" t="s">
        <v>77</v>
      </c>
      <c r="D62" s="84">
        <f>'Summary Page'!$B$36</f>
        <v>0.8</v>
      </c>
      <c r="J62" s="3"/>
      <c r="L62" s="3"/>
      <c r="M62" s="3"/>
    </row>
    <row r="63" spans="1:13" ht="12.75">
      <c r="A63" s="39" t="s">
        <v>22</v>
      </c>
      <c r="B63" s="89" t="str">
        <f>'Summary Page'!$B$25</f>
        <v>Yes</v>
      </c>
      <c r="C63" s="39" t="s">
        <v>24</v>
      </c>
      <c r="D63" s="91">
        <f>D64/D56</f>
        <v>9748.974285714286</v>
      </c>
      <c r="L63" s="3"/>
      <c r="M63" s="3"/>
    </row>
    <row r="64" spans="3:13" ht="12.75">
      <c r="C64" s="39" t="s">
        <v>25</v>
      </c>
      <c r="D64" s="91">
        <f>'Summary Page'!$B$37</f>
        <v>3412.141</v>
      </c>
      <c r="L64" s="3"/>
      <c r="M64" s="3"/>
    </row>
    <row r="65" spans="5:13" ht="12.75">
      <c r="E65" s="9"/>
      <c r="F65" s="9"/>
      <c r="G65" s="9"/>
      <c r="L65" s="3"/>
      <c r="M65" s="3"/>
    </row>
    <row r="66" spans="1:11" ht="12.75">
      <c r="A66" s="10" t="s">
        <v>26</v>
      </c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  <c r="I66" s="10">
        <v>8</v>
      </c>
      <c r="J66" s="10">
        <v>9</v>
      </c>
      <c r="K66" s="10">
        <v>10</v>
      </c>
    </row>
    <row r="68" spans="1:11" ht="12.75">
      <c r="A68" t="s">
        <v>27</v>
      </c>
      <c r="B68" s="11">
        <f>($B53*$B62*$D60)</f>
        <v>5606400</v>
      </c>
      <c r="C68" s="11">
        <f aca="true" t="shared" si="15" ref="C68:K68">B68*(1-$B$60)</f>
        <v>5550336</v>
      </c>
      <c r="D68" s="11">
        <f t="shared" si="15"/>
        <v>5494832.64</v>
      </c>
      <c r="E68" s="11">
        <f t="shared" si="15"/>
        <v>5439884.3136</v>
      </c>
      <c r="F68" s="11">
        <f t="shared" si="15"/>
        <v>5385485.470464</v>
      </c>
      <c r="G68" s="11">
        <f t="shared" si="15"/>
        <v>5331630.61575936</v>
      </c>
      <c r="H68" s="11">
        <f t="shared" si="15"/>
        <v>5278314.309601766</v>
      </c>
      <c r="I68" s="11">
        <f t="shared" si="15"/>
        <v>5225531.166505748</v>
      </c>
      <c r="J68" s="11">
        <f t="shared" si="15"/>
        <v>5173275.854840691</v>
      </c>
      <c r="K68" s="11">
        <f t="shared" si="15"/>
        <v>5121543.096292284</v>
      </c>
    </row>
    <row r="69" spans="1:11" ht="12.75">
      <c r="A69" t="s">
        <v>28</v>
      </c>
      <c r="B69" s="12">
        <f aca="true" t="shared" si="16" ref="B69:K69">B68*B99</f>
        <v>661381.4016</v>
      </c>
      <c r="C69" s="12">
        <f t="shared" si="16"/>
        <v>667862.9393356801</v>
      </c>
      <c r="D69" s="12">
        <f t="shared" si="16"/>
        <v>674407.9961411697</v>
      </c>
      <c r="E69" s="12">
        <f t="shared" si="16"/>
        <v>681017.1945033531</v>
      </c>
      <c r="F69" s="12">
        <f t="shared" si="16"/>
        <v>687691.1630094858</v>
      </c>
      <c r="G69" s="12">
        <f t="shared" si="16"/>
        <v>694430.536406979</v>
      </c>
      <c r="H69" s="12">
        <f t="shared" si="16"/>
        <v>701235.9556637673</v>
      </c>
      <c r="I69" s="12">
        <f t="shared" si="16"/>
        <v>708108.0680292721</v>
      </c>
      <c r="J69" s="12">
        <f t="shared" si="16"/>
        <v>715047.5270959592</v>
      </c>
      <c r="K69" s="12">
        <f t="shared" si="16"/>
        <v>722054.9928614995</v>
      </c>
    </row>
    <row r="70" spans="1:11" ht="12.75">
      <c r="A70" t="s">
        <v>29</v>
      </c>
      <c r="B70" s="11">
        <f>(D63*B68)/1000000</f>
        <v>54656.649435428575</v>
      </c>
      <c r="C70" s="11">
        <f>B70</f>
        <v>54656.649435428575</v>
      </c>
      <c r="D70" s="11">
        <f aca="true" t="shared" si="17" ref="D70:K70">C70</f>
        <v>54656.649435428575</v>
      </c>
      <c r="E70" s="11">
        <f t="shared" si="17"/>
        <v>54656.649435428575</v>
      </c>
      <c r="F70" s="11">
        <f t="shared" si="17"/>
        <v>54656.649435428575</v>
      </c>
      <c r="G70" s="11">
        <f t="shared" si="17"/>
        <v>54656.649435428575</v>
      </c>
      <c r="H70" s="11">
        <f t="shared" si="17"/>
        <v>54656.649435428575</v>
      </c>
      <c r="I70" s="11">
        <f t="shared" si="17"/>
        <v>54656.649435428575</v>
      </c>
      <c r="J70" s="11">
        <f t="shared" si="17"/>
        <v>54656.649435428575</v>
      </c>
      <c r="K70" s="11">
        <f t="shared" si="17"/>
        <v>54656.649435428575</v>
      </c>
    </row>
    <row r="71" spans="1:11" ht="12.75">
      <c r="A71" s="13" t="s">
        <v>30</v>
      </c>
      <c r="B71" s="11">
        <f>(B70*$D57)-(B68/1000)*$D64/1000</f>
        <v>0</v>
      </c>
      <c r="C71" s="11">
        <f aca="true" t="shared" si="18" ref="C71:K71">(B71)*(1-$B$9)</f>
        <v>0</v>
      </c>
      <c r="D71" s="11">
        <f t="shared" si="18"/>
        <v>0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0</v>
      </c>
      <c r="I71" s="11">
        <f t="shared" si="18"/>
        <v>0</v>
      </c>
      <c r="J71" s="11">
        <f t="shared" si="18"/>
        <v>0</v>
      </c>
      <c r="K71" s="11">
        <f t="shared" si="18"/>
        <v>0</v>
      </c>
    </row>
    <row r="72" spans="1:11" ht="12.75">
      <c r="A72" t="s">
        <v>31</v>
      </c>
      <c r="B72" s="14">
        <f>B71/(B70-(B68/1000)*$D64/1000)</f>
        <v>0</v>
      </c>
      <c r="C72" s="14">
        <f aca="true" t="shared" si="19" ref="C72:K72">B72*(1-$B60)</f>
        <v>0</v>
      </c>
      <c r="D72" s="14">
        <f t="shared" si="19"/>
        <v>0</v>
      </c>
      <c r="E72" s="14">
        <f t="shared" si="19"/>
        <v>0</v>
      </c>
      <c r="F72" s="14">
        <f t="shared" si="19"/>
        <v>0</v>
      </c>
      <c r="G72" s="14">
        <f t="shared" si="19"/>
        <v>0</v>
      </c>
      <c r="H72" s="14">
        <f t="shared" si="19"/>
        <v>0</v>
      </c>
      <c r="I72" s="14">
        <f t="shared" si="19"/>
        <v>0</v>
      </c>
      <c r="J72" s="14">
        <f t="shared" si="19"/>
        <v>0</v>
      </c>
      <c r="K72" s="14">
        <f t="shared" si="19"/>
        <v>0</v>
      </c>
    </row>
    <row r="73" spans="1:11" ht="12.75">
      <c r="A73" t="s">
        <v>32</v>
      </c>
      <c r="B73" s="11">
        <f>B71/$D62</f>
        <v>0</v>
      </c>
      <c r="C73" s="11">
        <f aca="true" t="shared" si="20" ref="C73:K73">C71/$D62</f>
        <v>0</v>
      </c>
      <c r="D73" s="11">
        <f t="shared" si="20"/>
        <v>0</v>
      </c>
      <c r="E73" s="11">
        <f t="shared" si="20"/>
        <v>0</v>
      </c>
      <c r="F73" s="11">
        <f t="shared" si="20"/>
        <v>0</v>
      </c>
      <c r="G73" s="11">
        <f t="shared" si="20"/>
        <v>0</v>
      </c>
      <c r="H73" s="11">
        <f t="shared" si="20"/>
        <v>0</v>
      </c>
      <c r="I73" s="11">
        <f t="shared" si="20"/>
        <v>0</v>
      </c>
      <c r="J73" s="11">
        <f t="shared" si="20"/>
        <v>0</v>
      </c>
      <c r="K73" s="11">
        <f t="shared" si="20"/>
        <v>0</v>
      </c>
    </row>
    <row r="74" spans="1:11" ht="12.75">
      <c r="A74" t="s">
        <v>33</v>
      </c>
      <c r="B74" s="12">
        <f aca="true" t="shared" si="21" ref="B74:K74">B73*B98</f>
        <v>0</v>
      </c>
      <c r="C74" s="12">
        <f t="shared" si="21"/>
        <v>0</v>
      </c>
      <c r="D74" s="12">
        <f t="shared" si="21"/>
        <v>0</v>
      </c>
      <c r="E74" s="12">
        <f t="shared" si="21"/>
        <v>0</v>
      </c>
      <c r="F74" s="12">
        <f t="shared" si="21"/>
        <v>0</v>
      </c>
      <c r="G74" s="12">
        <f t="shared" si="21"/>
        <v>0</v>
      </c>
      <c r="H74" s="12">
        <f t="shared" si="21"/>
        <v>0</v>
      </c>
      <c r="I74" s="12">
        <f t="shared" si="21"/>
        <v>0</v>
      </c>
      <c r="J74" s="12">
        <f t="shared" si="21"/>
        <v>0</v>
      </c>
      <c r="K74" s="12">
        <f t="shared" si="21"/>
        <v>0</v>
      </c>
    </row>
    <row r="75" spans="1:11" ht="12.75">
      <c r="A75" t="s">
        <v>34</v>
      </c>
      <c r="B75" s="15">
        <f aca="true" t="shared" si="22" ref="B75:K75">IF($B$52="IC Engine - CHP (Biogas)",0,-B70*B98)</f>
        <v>0</v>
      </c>
      <c r="C75" s="15">
        <f t="shared" si="22"/>
        <v>0</v>
      </c>
      <c r="D75" s="15">
        <f t="shared" si="22"/>
        <v>0</v>
      </c>
      <c r="E75" s="15">
        <f t="shared" si="22"/>
        <v>0</v>
      </c>
      <c r="F75" s="15">
        <f t="shared" si="22"/>
        <v>0</v>
      </c>
      <c r="G75" s="15">
        <f t="shared" si="22"/>
        <v>0</v>
      </c>
      <c r="H75" s="15">
        <f t="shared" si="22"/>
        <v>0</v>
      </c>
      <c r="I75" s="15">
        <f t="shared" si="22"/>
        <v>0</v>
      </c>
      <c r="J75" s="15">
        <f t="shared" si="22"/>
        <v>0</v>
      </c>
      <c r="K75" s="15">
        <f t="shared" si="22"/>
        <v>0</v>
      </c>
    </row>
    <row r="76" spans="1:11" ht="12.75">
      <c r="A76" t="s">
        <v>35</v>
      </c>
      <c r="B76" s="15">
        <f>B68*(-$D54)</f>
        <v>-302745.6</v>
      </c>
      <c r="C76" s="15">
        <f aca="true" t="shared" si="23" ref="C76:K76">C68*(-$D54)</f>
        <v>-299718.144</v>
      </c>
      <c r="D76" s="15">
        <f t="shared" si="23"/>
        <v>-296720.96255999996</v>
      </c>
      <c r="E76" s="15">
        <f t="shared" si="23"/>
        <v>-293753.7529344</v>
      </c>
      <c r="F76" s="15">
        <f t="shared" si="23"/>
        <v>-290816.21540505596</v>
      </c>
      <c r="G76" s="15">
        <f t="shared" si="23"/>
        <v>-287908.0532510054</v>
      </c>
      <c r="H76" s="15">
        <f t="shared" si="23"/>
        <v>-285028.97271849535</v>
      </c>
      <c r="I76" s="15">
        <f t="shared" si="23"/>
        <v>-282178.68299131043</v>
      </c>
      <c r="J76" s="15">
        <f t="shared" si="23"/>
        <v>-279356.89616139734</v>
      </c>
      <c r="K76" s="15">
        <f t="shared" si="23"/>
        <v>-276563.32719978335</v>
      </c>
    </row>
    <row r="77" spans="1:11" ht="12.75">
      <c r="A77" s="13" t="s">
        <v>78</v>
      </c>
      <c r="B77" s="15">
        <f>-$D59</f>
        <v>-1439.01615</v>
      </c>
      <c r="C77" s="15">
        <f aca="true" t="shared" si="24" ref="C77:K77">-$D59</f>
        <v>-1439.01615</v>
      </c>
      <c r="D77" s="15">
        <f t="shared" si="24"/>
        <v>-1439.01615</v>
      </c>
      <c r="E77" s="15">
        <f t="shared" si="24"/>
        <v>-1439.01615</v>
      </c>
      <c r="F77" s="15">
        <f t="shared" si="24"/>
        <v>-1439.01615</v>
      </c>
      <c r="G77" s="15">
        <f t="shared" si="24"/>
        <v>-1439.01615</v>
      </c>
      <c r="H77" s="15">
        <f t="shared" si="24"/>
        <v>-1439.01615</v>
      </c>
      <c r="I77" s="15">
        <f t="shared" si="24"/>
        <v>-1439.01615</v>
      </c>
      <c r="J77" s="15">
        <f t="shared" si="24"/>
        <v>-1439.01615</v>
      </c>
      <c r="K77" s="15">
        <f t="shared" si="24"/>
        <v>-1439.01615</v>
      </c>
    </row>
    <row r="78" spans="1:11" ht="12.75">
      <c r="A78" s="13" t="s">
        <v>83</v>
      </c>
      <c r="B78" s="15">
        <f>-'Summary Page'!$B$30</f>
        <v>-4300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3" t="s">
        <v>86</v>
      </c>
      <c r="B79" s="15">
        <f>-'Summary Page'!$B$31</f>
        <v>-17000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3" t="s">
        <v>85</v>
      </c>
      <c r="B80" s="15">
        <f>-'Summary Page'!$B$32</f>
        <v>-7500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" hidden="1">
      <c r="A81" s="13" t="s">
        <v>93</v>
      </c>
      <c r="B81" s="113">
        <f>IF(B53&gt;=1000,1000*B54*B57,B53*B54*B57)</f>
        <v>0</v>
      </c>
      <c r="C81" s="113">
        <f>IF(($B81/$B57)-B81&gt;=0.1,((($B81/$B57)-$B81)/$B$7),0)</f>
        <v>0</v>
      </c>
      <c r="D81" s="113">
        <f>IF(($B81/$B57)-B81-C81&gt;=0.1,((($B81/$B57)-$B81)/$B$7),0)</f>
        <v>0</v>
      </c>
      <c r="E81" s="113">
        <f>IF(($B81/$B57)-B81-C81-D81&gt;=0.1,((($B81/$B57)-$B81)/$B$7),0)</f>
        <v>0</v>
      </c>
      <c r="F81" s="113">
        <f>IF(($B81/$B57)-B81-C81-D81-E81&gt;=0.1,((($B81/$B57)-$B81)/$B$7),0)</f>
        <v>0</v>
      </c>
      <c r="G81" s="113">
        <f>IF(($B81/$B57)-B81-C81-D81-E81-F81&gt;=0.1,((($B81/$B57)-$B81)/$B$7),0)</f>
        <v>0</v>
      </c>
      <c r="H81" s="113">
        <f>IF(($B81/$B57)-B81-C81-D81-E81-F81-G81&gt;=0.1,((($B81/$B57)-$B81)/$B$7),0)</f>
        <v>0</v>
      </c>
      <c r="I81" s="113">
        <f>IF(($B81/$B57)-B81-C81-D81-E81-F81-G81-H81&gt;=0.1,((($B81/$B57)-$B81)/$B$7),0)</f>
        <v>0</v>
      </c>
      <c r="J81" s="113">
        <f>IF(($B81/$B57)-B81-C81-D81-E81-F81-G81-H81-I81&gt;=0.1,((($B81/$B57)-$B81)/$B$7),0)</f>
        <v>0</v>
      </c>
      <c r="K81" s="113">
        <f>IF(($B81/$B57)-B81-C81-D81-E81-F81-G81-H81-I81-J81&gt;=0.1,((($B81/$B57)-$B81)/$B$7),0)</f>
        <v>0</v>
      </c>
    </row>
    <row r="82" spans="1:11" ht="12" hidden="1">
      <c r="A82" s="13" t="s">
        <v>94</v>
      </c>
      <c r="B82" s="113">
        <f>IF(AND(B53&gt;=0,B53&lt;=2000),(B53-1000)*B55*B57,1000*B55*B57)</f>
        <v>0</v>
      </c>
      <c r="C82" s="113">
        <f>IF(($B82/$B57)-B82&gt;=0.1,((($B82/$B57)-$B82)/$B$7),0)</f>
        <v>0</v>
      </c>
      <c r="D82" s="113">
        <f>IF(($B82/$B57)-B82-C82&gt;=0.1,((($B82/$B57)-$B82)/$B$7),0)</f>
        <v>0</v>
      </c>
      <c r="E82" s="113">
        <f>IF(($B82/$B57)-B82-C82-D82&gt;=0.1,((($B82/$B57)-$B82)/$B$7),0)</f>
        <v>0</v>
      </c>
      <c r="F82" s="113">
        <f>IF(($B82/$B57)-B82-C82-D82-E82&gt;=0.1,((($B82/$B57)-$B82)/$B$7),0)</f>
        <v>0</v>
      </c>
      <c r="G82" s="113">
        <f>IF(($B82/$B57)-B82-C82-D82-E82-F82&gt;=0.1,((($B82/$B57)-$B82)/$B$7),0)</f>
        <v>0</v>
      </c>
      <c r="H82" s="113">
        <f>IF(($B82/$B57)-B82-C82-D82-E82-F82-G82&gt;=0.1,((($B82/$B57)-$B82)/$B$7),0)</f>
        <v>0</v>
      </c>
      <c r="I82" s="113">
        <f>IF(($B82/$B57)-B82-C82-D82-E82-F82-G82-H82&gt;=0.1,((($B82/$B57)-$B82)/$B$7),0)</f>
        <v>0</v>
      </c>
      <c r="J82" s="113">
        <f>IF(($B82/$B57)-B82-C82-D82-E82-F82-G82-H82-I82&gt;=0.1,((($B82/$B57)-$B82)/$B$7),0)</f>
        <v>0</v>
      </c>
      <c r="K82" s="113">
        <f>IF(($B82/$B57)-B82-C82-D82-E82-F82-G82-H82-I82-J82&gt;=0.1,((($B82/$B57)-$B82)/$B$7),0)</f>
        <v>0</v>
      </c>
    </row>
    <row r="83" spans="1:11" ht="12" hidden="1">
      <c r="A83" s="13" t="s">
        <v>95</v>
      </c>
      <c r="B83" s="113">
        <f>IF(AND(B53&gt;=0,B53&lt;=3000),(B53-2000)*B56*B57,1000*B56*B57)</f>
        <v>0</v>
      </c>
      <c r="C83" s="113">
        <f>IF(($B83/$B57)-B83&gt;=0.1,((($B83/$B57)-$B83)/$B$7),0)</f>
        <v>0</v>
      </c>
      <c r="D83" s="113">
        <f>IF(($B83/$B57)-B83-C83&gt;=0.1,((($B83/$B57)-$B83)/$B$7),0)</f>
        <v>0</v>
      </c>
      <c r="E83" s="113">
        <f>IF(($B83/$B57)-B83-C83-D83&gt;=0.1,((($B83/$B57)-$B83)/$B$7),0)</f>
        <v>0</v>
      </c>
      <c r="F83" s="113">
        <f>IF(($B83/$B57)-B83-C83-D83-E83&gt;=0.1,((($B83/$B57)-$B83)/$B$7),0)</f>
        <v>0</v>
      </c>
      <c r="G83" s="113">
        <f>IF(($B83/$B57)-B83-C83-D83-E83-F83&gt;=0.1,((($B83/$B57)-$B83)/$B$7),0)</f>
        <v>0</v>
      </c>
      <c r="H83" s="113">
        <f>IF(($B83/$B57)-B83-C83-D83-E83-F83-G83&gt;=0.1,((($B83/$B57)-$B83)/$B$7),0)</f>
        <v>0</v>
      </c>
      <c r="I83" s="113">
        <f>IF(($B83/$B57)-B83-C83-D83-E83-F83-G83-H83&gt;=0.1,((($B83/$B57)-$B83)/$B$7),0)</f>
        <v>0</v>
      </c>
      <c r="J83" s="113">
        <f>IF(($B83/$B57)-B83-C83-D83-E83-F83-G83-H83-I83&gt;=0.1,((($B83/$B57)-$B83)/$B$7),0)</f>
        <v>0</v>
      </c>
      <c r="K83" s="113">
        <f>IF(($B83/$B57)-B83-C83-D83-E83-F83-G83-H83-I83-J83&gt;=0.1,((($B83/$B57)-$B83)/$B$7),0)</f>
        <v>0</v>
      </c>
    </row>
    <row r="84" spans="1:12" ht="12.75">
      <c r="A84" s="13" t="s">
        <v>96</v>
      </c>
      <c r="B84" s="12">
        <f aca="true" t="shared" si="25" ref="B84:K84">IF(B82&lt;=0,0,B82)+IF(B83&lt;=0,0,B83)+B81</f>
        <v>0</v>
      </c>
      <c r="C84" s="12">
        <f t="shared" si="25"/>
        <v>0</v>
      </c>
      <c r="D84" s="12">
        <f t="shared" si="25"/>
        <v>0</v>
      </c>
      <c r="E84" s="12">
        <f t="shared" si="25"/>
        <v>0</v>
      </c>
      <c r="F84" s="12">
        <f t="shared" si="25"/>
        <v>0</v>
      </c>
      <c r="G84" s="12">
        <f t="shared" si="25"/>
        <v>0</v>
      </c>
      <c r="H84" s="12">
        <f t="shared" si="25"/>
        <v>0</v>
      </c>
      <c r="I84" s="12">
        <f t="shared" si="25"/>
        <v>0</v>
      </c>
      <c r="J84" s="12">
        <f t="shared" si="25"/>
        <v>0</v>
      </c>
      <c r="K84" s="12">
        <f t="shared" si="25"/>
        <v>0</v>
      </c>
      <c r="L84" s="12"/>
    </row>
    <row r="85" spans="1:11" ht="12.75">
      <c r="A85" t="s">
        <v>36</v>
      </c>
      <c r="B85" s="12">
        <f aca="true" t="shared" si="26" ref="B85:K85">IF($B$12="yes",(B84*0.2),0)</f>
        <v>0</v>
      </c>
      <c r="C85" s="12">
        <f t="shared" si="26"/>
        <v>0</v>
      </c>
      <c r="D85" s="12">
        <f t="shared" si="26"/>
        <v>0</v>
      </c>
      <c r="E85" s="12">
        <f t="shared" si="26"/>
        <v>0</v>
      </c>
      <c r="F85" s="12">
        <f t="shared" si="26"/>
        <v>0</v>
      </c>
      <c r="G85" s="12">
        <f t="shared" si="26"/>
        <v>0</v>
      </c>
      <c r="H85" s="12">
        <f t="shared" si="26"/>
        <v>0</v>
      </c>
      <c r="I85" s="12">
        <f t="shared" si="26"/>
        <v>0</v>
      </c>
      <c r="J85" s="12">
        <f t="shared" si="26"/>
        <v>0</v>
      </c>
      <c r="K85" s="12">
        <f t="shared" si="26"/>
        <v>0</v>
      </c>
    </row>
    <row r="86" spans="1:4" ht="12.75" hidden="1">
      <c r="A86" t="s">
        <v>54</v>
      </c>
      <c r="B86" s="12">
        <f>((D52)-SUM(B84:K85))*D55</f>
        <v>388630.5238275833</v>
      </c>
      <c r="C86" s="12"/>
      <c r="D86" s="12"/>
    </row>
    <row r="87" spans="1:4" ht="12.75">
      <c r="A87" t="s">
        <v>53</v>
      </c>
      <c r="B87" s="12">
        <f>MIN(B86:B86)</f>
        <v>388630.5238275833</v>
      </c>
      <c r="C87" s="12"/>
      <c r="D87" s="12"/>
    </row>
    <row r="88" spans="1:13" ht="12.75">
      <c r="A88" t="s">
        <v>38</v>
      </c>
      <c r="B88" s="16">
        <f>-$D52+B69+B74+B75+B76+B77++B78+B79+B80+B84+B85+B87</f>
        <v>-3169277.9289982496</v>
      </c>
      <c r="C88" s="16">
        <f>C69+C74+C75+C76+C77+C84+C85+C87</f>
        <v>366705.77918568015</v>
      </c>
      <c r="D88" s="16">
        <f aca="true" t="shared" si="27" ref="D88:K88">D69+D74+D75+D76+D77+D84+D85+D87</f>
        <v>376248.01743116975</v>
      </c>
      <c r="E88" s="16">
        <f t="shared" si="27"/>
        <v>385824.4254189531</v>
      </c>
      <c r="F88" s="16">
        <f t="shared" si="27"/>
        <v>395435.93145442987</v>
      </c>
      <c r="G88" s="16">
        <f t="shared" si="27"/>
        <v>405083.46700597357</v>
      </c>
      <c r="H88" s="16">
        <f t="shared" si="27"/>
        <v>414767.96679527196</v>
      </c>
      <c r="I88" s="16">
        <f t="shared" si="27"/>
        <v>424490.3688879617</v>
      </c>
      <c r="J88" s="16">
        <f t="shared" si="27"/>
        <v>434251.61478456185</v>
      </c>
      <c r="K88" s="16">
        <f t="shared" si="27"/>
        <v>444052.6495117162</v>
      </c>
      <c r="L88" s="16"/>
      <c r="M88" s="16"/>
    </row>
    <row r="89" spans="1:11" ht="12.75">
      <c r="A89" t="s">
        <v>39</v>
      </c>
      <c r="B89" s="16">
        <f>B88</f>
        <v>-3169277.9289982496</v>
      </c>
      <c r="C89" s="16">
        <f aca="true" t="shared" si="28" ref="C89:K89">B89+C88</f>
        <v>-2802572.1498125694</v>
      </c>
      <c r="D89" s="16">
        <f t="shared" si="28"/>
        <v>-2426324.1323813996</v>
      </c>
      <c r="E89" s="16">
        <f t="shared" si="28"/>
        <v>-2040499.7069624464</v>
      </c>
      <c r="F89" s="16">
        <f t="shared" si="28"/>
        <v>-1645063.7755080166</v>
      </c>
      <c r="G89" s="16">
        <f t="shared" si="28"/>
        <v>-1239980.3085020431</v>
      </c>
      <c r="H89" s="16">
        <f t="shared" si="28"/>
        <v>-825212.3417067712</v>
      </c>
      <c r="I89" s="16">
        <f t="shared" si="28"/>
        <v>-400721.97281880945</v>
      </c>
      <c r="J89" s="16">
        <f t="shared" si="28"/>
        <v>33529.64196575241</v>
      </c>
      <c r="K89" s="16">
        <f t="shared" si="28"/>
        <v>477582.2914774686</v>
      </c>
    </row>
    <row r="90" spans="2:11" ht="12.75">
      <c r="B90" s="17"/>
      <c r="C90" s="17"/>
      <c r="D90" s="18"/>
      <c r="E90" s="18"/>
      <c r="F90" s="18"/>
      <c r="G90" s="19"/>
      <c r="H90" s="19"/>
      <c r="I90" s="17"/>
      <c r="J90" s="17"/>
      <c r="K90" s="17"/>
    </row>
    <row r="91" spans="1:11" ht="12.75">
      <c r="A91" s="20" t="s">
        <v>40</v>
      </c>
      <c r="B91" s="21">
        <f>(NPV($B$8,C88:K88))+$B$38</f>
        <v>1978344.680524968</v>
      </c>
      <c r="C91" s="18"/>
      <c r="E91" s="18"/>
      <c r="F91" s="18"/>
      <c r="G91" s="19"/>
      <c r="H91" s="19"/>
      <c r="I91" s="17"/>
      <c r="J91" s="17"/>
      <c r="K91" s="17"/>
    </row>
    <row r="92" spans="1:11" ht="12.75">
      <c r="A92" s="22" t="s">
        <v>41</v>
      </c>
      <c r="B92" s="23">
        <f>IRR(B88:K88)</f>
        <v>0.028089008272740967</v>
      </c>
      <c r="C92" s="18"/>
      <c r="D92" s="18"/>
      <c r="E92" s="18"/>
      <c r="F92" s="24"/>
      <c r="G92" s="19"/>
      <c r="H92" s="19"/>
      <c r="I92" s="17"/>
      <c r="J92" s="17"/>
      <c r="K92" s="17"/>
    </row>
    <row r="93" spans="1:11" ht="12.75">
      <c r="A93" s="25" t="s">
        <v>42</v>
      </c>
      <c r="B93" s="26">
        <f>COUNTIF(B89:K89,"&lt;0")+1-INDEX(B89:K89,COUNTIF(B89:K89,"&lt;0")+1)/INDEX(B88:K88,COUNTIF(B89:K89,"&lt;0")+1)</f>
        <v>8.92278752496433</v>
      </c>
      <c r="C93" s="18"/>
      <c r="E93" s="18"/>
      <c r="F93" s="18"/>
      <c r="G93" s="19"/>
      <c r="H93" s="19"/>
      <c r="I93" s="17"/>
      <c r="J93" s="17"/>
      <c r="K93" s="17"/>
    </row>
    <row r="94" spans="1:11" ht="12.75">
      <c r="A94" s="27"/>
      <c r="B94" s="28"/>
      <c r="C94" s="18"/>
      <c r="E94" s="18"/>
      <c r="F94" s="18"/>
      <c r="G94" s="19"/>
      <c r="H94" s="19"/>
      <c r="I94" s="17"/>
      <c r="J94" s="17"/>
      <c r="K94" s="17"/>
    </row>
    <row r="95" ht="12.75">
      <c r="A95" s="7"/>
    </row>
    <row r="96" spans="1:7" ht="12.75">
      <c r="A96" s="29" t="s">
        <v>43</v>
      </c>
      <c r="F96" s="11"/>
      <c r="G96" s="11"/>
    </row>
    <row r="97" spans="1:12" ht="12.75">
      <c r="A97" s="20" t="s">
        <v>26</v>
      </c>
      <c r="B97" s="30">
        <v>2010</v>
      </c>
      <c r="C97" s="30">
        <v>2011</v>
      </c>
      <c r="D97" s="30">
        <v>2012</v>
      </c>
      <c r="E97" s="30">
        <v>2013</v>
      </c>
      <c r="F97" s="30">
        <v>2014</v>
      </c>
      <c r="G97" s="30">
        <v>2015</v>
      </c>
      <c r="H97" s="30">
        <v>2016</v>
      </c>
      <c r="I97" s="30">
        <v>2017</v>
      </c>
      <c r="J97" s="30">
        <v>2018</v>
      </c>
      <c r="K97" s="30">
        <v>2019</v>
      </c>
      <c r="L97" s="31">
        <v>2020</v>
      </c>
    </row>
    <row r="98" spans="1:12" ht="12.75">
      <c r="A98" s="2" t="s">
        <v>44</v>
      </c>
      <c r="B98" s="32">
        <v>6.2</v>
      </c>
      <c r="C98" s="32">
        <v>7.04</v>
      </c>
      <c r="D98" s="32">
        <v>7.24</v>
      </c>
      <c r="E98" s="32">
        <v>7.36</v>
      </c>
      <c r="F98" s="32">
        <v>7.5</v>
      </c>
      <c r="G98" s="32">
        <v>7.66</v>
      </c>
      <c r="H98" s="32">
        <v>7.81</v>
      </c>
      <c r="I98" s="32">
        <v>7.97</v>
      </c>
      <c r="J98" s="32">
        <v>8.13</v>
      </c>
      <c r="K98" s="32">
        <v>8.29</v>
      </c>
      <c r="L98" s="33">
        <v>8.45</v>
      </c>
    </row>
    <row r="99" spans="1:12" ht="12.75">
      <c r="A99" s="6" t="s">
        <v>45</v>
      </c>
      <c r="B99" s="34">
        <f>$D58</f>
        <v>0.117969</v>
      </c>
      <c r="C99" s="34">
        <f aca="true" t="shared" si="29" ref="C99:K99">($D58)*(1+$B61)^B66</f>
        <v>0.12032838000000001</v>
      </c>
      <c r="D99" s="34">
        <f t="shared" si="29"/>
        <v>0.1227349476</v>
      </c>
      <c r="E99" s="34">
        <f t="shared" si="29"/>
        <v>0.125189646552</v>
      </c>
      <c r="F99" s="34">
        <f t="shared" si="29"/>
        <v>0.12769343948304</v>
      </c>
      <c r="G99" s="34">
        <f t="shared" si="29"/>
        <v>0.1302473082727008</v>
      </c>
      <c r="H99" s="34">
        <f t="shared" si="29"/>
        <v>0.13285225443815482</v>
      </c>
      <c r="I99" s="34">
        <f t="shared" si="29"/>
        <v>0.1355092995269179</v>
      </c>
      <c r="J99" s="34">
        <f t="shared" si="29"/>
        <v>0.13821948551745628</v>
      </c>
      <c r="K99" s="34">
        <f t="shared" si="29"/>
        <v>0.1409838752278054</v>
      </c>
      <c r="L99" s="107">
        <f>K99*(1+$B$10)</f>
        <v>0.1438035527323615</v>
      </c>
    </row>
    <row r="100" spans="1:12" ht="12.75">
      <c r="A100" s="92"/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34"/>
    </row>
    <row r="101" spans="1:12" ht="12.75">
      <c r="A101" s="92"/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34"/>
    </row>
    <row r="102" spans="1:13" ht="12.75">
      <c r="A102" s="38" t="s">
        <v>0</v>
      </c>
      <c r="B102" s="81" t="str">
        <f>'Summary Page'!A13</f>
        <v>Gas Turbine - CHP (Biogas)</v>
      </c>
      <c r="C102" s="38" t="s">
        <v>1</v>
      </c>
      <c r="D102" s="41">
        <f>(D103*B103)-B128-B129-B130</f>
        <v>4875890</v>
      </c>
      <c r="E102" s="1"/>
      <c r="L102" s="3"/>
      <c r="M102" s="3"/>
    </row>
    <row r="103" spans="1:13" ht="12.75">
      <c r="A103" s="38" t="s">
        <v>3</v>
      </c>
      <c r="B103" s="42">
        <f>VLOOKUP(B102,'Summary Page'!$A$7:$K$19,2,0)</f>
        <v>1000</v>
      </c>
      <c r="C103" s="38" t="s">
        <v>4</v>
      </c>
      <c r="D103" s="41">
        <f>VLOOKUP(B102,'Summary Page'!$A$7:$K$19,3,0)</f>
        <v>4847.09</v>
      </c>
      <c r="E103" s="1"/>
      <c r="J103" s="3"/>
      <c r="L103" s="3"/>
      <c r="M103" s="3"/>
    </row>
    <row r="104" spans="1:13" ht="12.75">
      <c r="A104" s="38" t="s">
        <v>90</v>
      </c>
      <c r="B104" s="41">
        <f>VLOOKUP(B102,'Summary Page'!$A$7:$K$19,11,0)</f>
        <v>0</v>
      </c>
      <c r="C104" s="82" t="s">
        <v>6</v>
      </c>
      <c r="D104" s="83">
        <f>VLOOKUP(B102,'Summary Page'!$A$7:$K$19,4,0)</f>
        <v>0.054</v>
      </c>
      <c r="E104" s="1"/>
      <c r="J104" s="3"/>
      <c r="L104" s="3"/>
      <c r="M104" s="3"/>
    </row>
    <row r="105" spans="1:13" ht="12.75">
      <c r="A105" s="38" t="s">
        <v>91</v>
      </c>
      <c r="B105" s="41">
        <f>(VLOOKUP(B102,'Summary Page'!$A$7:$K$19,11,0))*'Summary Page'!$B$39</f>
        <v>0</v>
      </c>
      <c r="C105" s="85" t="s">
        <v>8</v>
      </c>
      <c r="D105" s="86">
        <f>VLOOKUP(B102,'Summary Page'!$A$7:$K$19,5,0)</f>
        <v>0.1</v>
      </c>
      <c r="E105" s="5"/>
      <c r="J105" s="3"/>
      <c r="L105" s="3"/>
      <c r="M105" s="3"/>
    </row>
    <row r="106" spans="1:13" ht="12.75">
      <c r="A106" s="38" t="s">
        <v>92</v>
      </c>
      <c r="B106" s="41">
        <f>(VLOOKUP(B102,'Summary Page'!$A$7:$K$19,11,0))*'Summary Page'!$B$40</f>
        <v>0</v>
      </c>
      <c r="C106" s="85" t="s">
        <v>10</v>
      </c>
      <c r="D106" s="86">
        <f>VLOOKUP(B102,'Summary Page'!$A$7:$K$19,8,0)</f>
        <v>0.29</v>
      </c>
      <c r="E106" s="5"/>
      <c r="J106" s="3"/>
      <c r="L106" s="3"/>
      <c r="M106" s="3"/>
    </row>
    <row r="107" spans="1:13" ht="12.75">
      <c r="A107" s="39" t="s">
        <v>7</v>
      </c>
      <c r="B107" s="84">
        <f>'Summary Page'!$B$23</f>
        <v>0.25</v>
      </c>
      <c r="C107" s="85" t="s">
        <v>13</v>
      </c>
      <c r="D107" s="86">
        <f>VLOOKUP(B102,'Summary Page'!$A$7:$K$19,9,0)</f>
        <v>0.29</v>
      </c>
      <c r="J107" s="3"/>
      <c r="L107" s="3"/>
      <c r="M107" s="3"/>
    </row>
    <row r="108" spans="1:13" ht="12.75">
      <c r="A108" s="39" t="s">
        <v>9</v>
      </c>
      <c r="B108" s="87">
        <f>'Summary Page'!$B$24</f>
        <v>5</v>
      </c>
      <c r="C108" s="40" t="s">
        <v>15</v>
      </c>
      <c r="D108" s="88">
        <f>'Summary Page'!$B$27</f>
        <v>0.117969</v>
      </c>
      <c r="F108" s="111"/>
      <c r="J108" s="3"/>
      <c r="L108" s="3"/>
      <c r="M108" s="3"/>
    </row>
    <row r="109" spans="1:13" ht="12.75">
      <c r="A109" s="38" t="s">
        <v>12</v>
      </c>
      <c r="B109" s="43">
        <f>'Summary Page'!$B$26</f>
        <v>0.05</v>
      </c>
      <c r="C109" s="38" t="s">
        <v>17</v>
      </c>
      <c r="D109" s="41">
        <f>'Summary Page'!$B$29</f>
        <v>1439.01615</v>
      </c>
      <c r="J109" s="3"/>
      <c r="L109" s="3"/>
      <c r="M109" s="3"/>
    </row>
    <row r="110" spans="1:13" ht="12.75">
      <c r="A110" s="38" t="s">
        <v>14</v>
      </c>
      <c r="B110" s="43">
        <f>'Summary Page'!$B$35</f>
        <v>0.01</v>
      </c>
      <c r="C110" s="38" t="s">
        <v>19</v>
      </c>
      <c r="D110" s="42">
        <f>'Summary Page'!$B$34</f>
        <v>8760</v>
      </c>
      <c r="J110" s="3"/>
      <c r="L110" s="3"/>
      <c r="M110" s="3"/>
    </row>
    <row r="111" spans="1:13" ht="12.75">
      <c r="A111" s="39" t="s">
        <v>16</v>
      </c>
      <c r="B111" s="43">
        <f>'Summary Page'!$B$28</f>
        <v>0.02</v>
      </c>
      <c r="C111" s="38" t="s">
        <v>20</v>
      </c>
      <c r="D111" s="90">
        <f>'Summary Page'!$B$33</f>
        <v>6.2</v>
      </c>
      <c r="J111" s="3"/>
      <c r="L111" s="3"/>
      <c r="M111" s="3"/>
    </row>
    <row r="112" spans="1:13" ht="12.75">
      <c r="A112" s="39" t="s">
        <v>18</v>
      </c>
      <c r="B112" s="43">
        <f>VLOOKUP(B102,'Summary Page'!$A$7:$K$19,10,0)</f>
        <v>0.8</v>
      </c>
      <c r="C112" s="38" t="s">
        <v>77</v>
      </c>
      <c r="D112" s="84">
        <f>'Summary Page'!$B$36</f>
        <v>0.8</v>
      </c>
      <c r="J112" s="3"/>
      <c r="L112" s="3"/>
      <c r="M112" s="3"/>
    </row>
    <row r="113" spans="1:13" ht="12.75">
      <c r="A113" s="39" t="s">
        <v>22</v>
      </c>
      <c r="B113" s="89" t="str">
        <f>'Summary Page'!$B$25</f>
        <v>Yes</v>
      </c>
      <c r="C113" s="39" t="s">
        <v>24</v>
      </c>
      <c r="D113" s="91">
        <f>D114/D106</f>
        <v>11766.003448275864</v>
      </c>
      <c r="L113" s="3"/>
      <c r="M113" s="3"/>
    </row>
    <row r="114" spans="3:13" ht="12.75">
      <c r="C114" s="39" t="s">
        <v>25</v>
      </c>
      <c r="D114" s="91">
        <f>'Summary Page'!$B$37</f>
        <v>3412.141</v>
      </c>
      <c r="L114" s="3"/>
      <c r="M114" s="3"/>
    </row>
    <row r="115" spans="5:13" ht="12.75">
      <c r="E115" s="9"/>
      <c r="F115" s="9"/>
      <c r="G115" s="9"/>
      <c r="L115" s="3"/>
      <c r="M115" s="3"/>
    </row>
    <row r="116" spans="1:11" ht="12.75">
      <c r="A116" s="10" t="s">
        <v>26</v>
      </c>
      <c r="B116" s="10">
        <v>1</v>
      </c>
      <c r="C116" s="10">
        <v>2</v>
      </c>
      <c r="D116" s="10">
        <v>3</v>
      </c>
      <c r="E116" s="10">
        <v>4</v>
      </c>
      <c r="F116" s="10">
        <v>5</v>
      </c>
      <c r="G116" s="10">
        <v>6</v>
      </c>
      <c r="H116" s="10">
        <v>7</v>
      </c>
      <c r="I116" s="10">
        <v>8</v>
      </c>
      <c r="J116" s="10">
        <v>9</v>
      </c>
      <c r="K116" s="10">
        <v>10</v>
      </c>
    </row>
    <row r="118" spans="1:11" ht="12.75">
      <c r="A118" t="s">
        <v>27</v>
      </c>
      <c r="B118" s="11">
        <f>($B103*$B112*$D110)</f>
        <v>7008000</v>
      </c>
      <c r="C118" s="11">
        <f aca="true" t="shared" si="30" ref="C118:K118">B118*(1-$B$110)</f>
        <v>6937920</v>
      </c>
      <c r="D118" s="11">
        <f t="shared" si="30"/>
        <v>6868540.8</v>
      </c>
      <c r="E118" s="11">
        <f t="shared" si="30"/>
        <v>6799855.392</v>
      </c>
      <c r="F118" s="11">
        <f t="shared" si="30"/>
        <v>6731856.83808</v>
      </c>
      <c r="G118" s="11">
        <f t="shared" si="30"/>
        <v>6664538.2696992</v>
      </c>
      <c r="H118" s="11">
        <f t="shared" si="30"/>
        <v>6597892.887002208</v>
      </c>
      <c r="I118" s="11">
        <f t="shared" si="30"/>
        <v>6531913.958132186</v>
      </c>
      <c r="J118" s="11">
        <f t="shared" si="30"/>
        <v>6466594.818550864</v>
      </c>
      <c r="K118" s="11">
        <f t="shared" si="30"/>
        <v>6401928.870365355</v>
      </c>
    </row>
    <row r="119" spans="1:11" ht="12.75">
      <c r="A119" t="s">
        <v>28</v>
      </c>
      <c r="B119" s="12">
        <f aca="true" t="shared" si="31" ref="B119:K119">B118*B149</f>
        <v>826726.752</v>
      </c>
      <c r="C119" s="12">
        <f t="shared" si="31"/>
        <v>834828.6741696001</v>
      </c>
      <c r="D119" s="12">
        <f t="shared" si="31"/>
        <v>843009.9951764621</v>
      </c>
      <c r="E119" s="12">
        <f t="shared" si="31"/>
        <v>851271.4931291913</v>
      </c>
      <c r="F119" s="12">
        <f t="shared" si="31"/>
        <v>859613.9537618575</v>
      </c>
      <c r="G119" s="12">
        <f t="shared" si="31"/>
        <v>868038.1705087238</v>
      </c>
      <c r="H119" s="12">
        <f t="shared" si="31"/>
        <v>876544.9445797092</v>
      </c>
      <c r="I119" s="12">
        <f t="shared" si="31"/>
        <v>885135.0850365902</v>
      </c>
      <c r="J119" s="12">
        <f t="shared" si="31"/>
        <v>893809.4088699489</v>
      </c>
      <c r="K119" s="12">
        <f t="shared" si="31"/>
        <v>902568.7410768743</v>
      </c>
    </row>
    <row r="120" spans="1:11" ht="12.75">
      <c r="A120" t="s">
        <v>29</v>
      </c>
      <c r="B120" s="11">
        <f>(D113*B118)/1000000</f>
        <v>82456.15216551725</v>
      </c>
      <c r="C120" s="11">
        <f>B120</f>
        <v>82456.15216551725</v>
      </c>
      <c r="D120" s="11">
        <f aca="true" t="shared" si="32" ref="D120:K120">C120</f>
        <v>82456.15216551725</v>
      </c>
      <c r="E120" s="11">
        <f t="shared" si="32"/>
        <v>82456.15216551725</v>
      </c>
      <c r="F120" s="11">
        <f t="shared" si="32"/>
        <v>82456.15216551725</v>
      </c>
      <c r="G120" s="11">
        <f t="shared" si="32"/>
        <v>82456.15216551725</v>
      </c>
      <c r="H120" s="11">
        <f t="shared" si="32"/>
        <v>82456.15216551725</v>
      </c>
      <c r="I120" s="11">
        <f t="shared" si="32"/>
        <v>82456.15216551725</v>
      </c>
      <c r="J120" s="11">
        <f t="shared" si="32"/>
        <v>82456.15216551725</v>
      </c>
      <c r="K120" s="11">
        <f t="shared" si="32"/>
        <v>82456.15216551725</v>
      </c>
    </row>
    <row r="121" spans="1:11" ht="12.75">
      <c r="A121" s="13" t="s">
        <v>30</v>
      </c>
      <c r="B121" s="11">
        <f>(B120*$D107)-(B118/1000)*$D114/1000</f>
        <v>0</v>
      </c>
      <c r="C121" s="11">
        <f aca="true" t="shared" si="33" ref="C121:K121">(B121)*(1-$B$9)</f>
        <v>0</v>
      </c>
      <c r="D121" s="11">
        <f t="shared" si="33"/>
        <v>0</v>
      </c>
      <c r="E121" s="11">
        <f t="shared" si="33"/>
        <v>0</v>
      </c>
      <c r="F121" s="11">
        <f t="shared" si="33"/>
        <v>0</v>
      </c>
      <c r="G121" s="11">
        <f t="shared" si="33"/>
        <v>0</v>
      </c>
      <c r="H121" s="11">
        <f t="shared" si="33"/>
        <v>0</v>
      </c>
      <c r="I121" s="11">
        <f t="shared" si="33"/>
        <v>0</v>
      </c>
      <c r="J121" s="11">
        <f t="shared" si="33"/>
        <v>0</v>
      </c>
      <c r="K121" s="11">
        <f t="shared" si="33"/>
        <v>0</v>
      </c>
    </row>
    <row r="122" spans="1:11" ht="12.75">
      <c r="A122" t="s">
        <v>31</v>
      </c>
      <c r="B122" s="14">
        <f>B121/(B120-(B118/1000)*$D114/1000)</f>
        <v>0</v>
      </c>
      <c r="C122" s="14">
        <f aca="true" t="shared" si="34" ref="C122:K122">B122*(1-$B110)</f>
        <v>0</v>
      </c>
      <c r="D122" s="14">
        <f t="shared" si="34"/>
        <v>0</v>
      </c>
      <c r="E122" s="14">
        <f t="shared" si="34"/>
        <v>0</v>
      </c>
      <c r="F122" s="14">
        <f t="shared" si="34"/>
        <v>0</v>
      </c>
      <c r="G122" s="14">
        <f t="shared" si="34"/>
        <v>0</v>
      </c>
      <c r="H122" s="14">
        <f t="shared" si="34"/>
        <v>0</v>
      </c>
      <c r="I122" s="14">
        <f t="shared" si="34"/>
        <v>0</v>
      </c>
      <c r="J122" s="14">
        <f t="shared" si="34"/>
        <v>0</v>
      </c>
      <c r="K122" s="14">
        <f t="shared" si="34"/>
        <v>0</v>
      </c>
    </row>
    <row r="123" spans="1:11" ht="12.75">
      <c r="A123" t="s">
        <v>32</v>
      </c>
      <c r="B123" s="11">
        <f>B121/$D112</f>
        <v>0</v>
      </c>
      <c r="C123" s="11">
        <f aca="true" t="shared" si="35" ref="C123:K123">C121/$D112</f>
        <v>0</v>
      </c>
      <c r="D123" s="11">
        <f t="shared" si="35"/>
        <v>0</v>
      </c>
      <c r="E123" s="11">
        <f t="shared" si="35"/>
        <v>0</v>
      </c>
      <c r="F123" s="11">
        <f t="shared" si="35"/>
        <v>0</v>
      </c>
      <c r="G123" s="11">
        <f t="shared" si="35"/>
        <v>0</v>
      </c>
      <c r="H123" s="11">
        <f t="shared" si="35"/>
        <v>0</v>
      </c>
      <c r="I123" s="11">
        <f t="shared" si="35"/>
        <v>0</v>
      </c>
      <c r="J123" s="11">
        <f t="shared" si="35"/>
        <v>0</v>
      </c>
      <c r="K123" s="11">
        <f t="shared" si="35"/>
        <v>0</v>
      </c>
    </row>
    <row r="124" spans="1:11" ht="12.75">
      <c r="A124" t="s">
        <v>33</v>
      </c>
      <c r="B124" s="12">
        <f aca="true" t="shared" si="36" ref="B124:K124">B123*B148</f>
        <v>0</v>
      </c>
      <c r="C124" s="12">
        <f t="shared" si="36"/>
        <v>0</v>
      </c>
      <c r="D124" s="12">
        <f t="shared" si="36"/>
        <v>0</v>
      </c>
      <c r="E124" s="12">
        <f t="shared" si="36"/>
        <v>0</v>
      </c>
      <c r="F124" s="12">
        <f t="shared" si="36"/>
        <v>0</v>
      </c>
      <c r="G124" s="12">
        <f t="shared" si="36"/>
        <v>0</v>
      </c>
      <c r="H124" s="12">
        <f t="shared" si="36"/>
        <v>0</v>
      </c>
      <c r="I124" s="12">
        <f t="shared" si="36"/>
        <v>0</v>
      </c>
      <c r="J124" s="12">
        <f t="shared" si="36"/>
        <v>0</v>
      </c>
      <c r="K124" s="12">
        <f t="shared" si="36"/>
        <v>0</v>
      </c>
    </row>
    <row r="125" spans="1:11" ht="12.75">
      <c r="A125" t="s">
        <v>34</v>
      </c>
      <c r="B125" s="15">
        <f aca="true" t="shared" si="37" ref="B125:K125">IF($B$102="Gas Turbine - CHP (Biogas)",0,-B120*B148)</f>
        <v>0</v>
      </c>
      <c r="C125" s="15">
        <f t="shared" si="37"/>
        <v>0</v>
      </c>
      <c r="D125" s="15">
        <f t="shared" si="37"/>
        <v>0</v>
      </c>
      <c r="E125" s="15">
        <f t="shared" si="37"/>
        <v>0</v>
      </c>
      <c r="F125" s="15">
        <f t="shared" si="37"/>
        <v>0</v>
      </c>
      <c r="G125" s="15">
        <f t="shared" si="37"/>
        <v>0</v>
      </c>
      <c r="H125" s="15">
        <f t="shared" si="37"/>
        <v>0</v>
      </c>
      <c r="I125" s="15">
        <f t="shared" si="37"/>
        <v>0</v>
      </c>
      <c r="J125" s="15">
        <f t="shared" si="37"/>
        <v>0</v>
      </c>
      <c r="K125" s="15">
        <f t="shared" si="37"/>
        <v>0</v>
      </c>
    </row>
    <row r="126" spans="1:11" ht="12.75">
      <c r="A126" t="s">
        <v>35</v>
      </c>
      <c r="B126" s="15">
        <f>B118*(-$D104)</f>
        <v>-378432</v>
      </c>
      <c r="C126" s="15">
        <f aca="true" t="shared" si="38" ref="C126:K126">C118*(-$D104)</f>
        <v>-374647.68</v>
      </c>
      <c r="D126" s="15">
        <f t="shared" si="38"/>
        <v>-370901.2032</v>
      </c>
      <c r="E126" s="15">
        <f t="shared" si="38"/>
        <v>-367192.191168</v>
      </c>
      <c r="F126" s="15">
        <f t="shared" si="38"/>
        <v>-363520.26925632</v>
      </c>
      <c r="G126" s="15">
        <f t="shared" si="38"/>
        <v>-359885.0665637568</v>
      </c>
      <c r="H126" s="15">
        <f t="shared" si="38"/>
        <v>-356286.21589811926</v>
      </c>
      <c r="I126" s="15">
        <f t="shared" si="38"/>
        <v>-352723.35373913805</v>
      </c>
      <c r="J126" s="15">
        <f t="shared" si="38"/>
        <v>-349196.12020174664</v>
      </c>
      <c r="K126" s="15">
        <f t="shared" si="38"/>
        <v>-345704.1589997292</v>
      </c>
    </row>
    <row r="127" spans="1:11" ht="12.75">
      <c r="A127" s="13" t="s">
        <v>78</v>
      </c>
      <c r="B127" s="15">
        <f>-$D109</f>
        <v>-1439.01615</v>
      </c>
      <c r="C127" s="15">
        <f aca="true" t="shared" si="39" ref="C127:K127">-$D109</f>
        <v>-1439.01615</v>
      </c>
      <c r="D127" s="15">
        <f t="shared" si="39"/>
        <v>-1439.01615</v>
      </c>
      <c r="E127" s="15">
        <f t="shared" si="39"/>
        <v>-1439.01615</v>
      </c>
      <c r="F127" s="15">
        <f t="shared" si="39"/>
        <v>-1439.01615</v>
      </c>
      <c r="G127" s="15">
        <f t="shared" si="39"/>
        <v>-1439.01615</v>
      </c>
      <c r="H127" s="15">
        <f t="shared" si="39"/>
        <v>-1439.01615</v>
      </c>
      <c r="I127" s="15">
        <f t="shared" si="39"/>
        <v>-1439.01615</v>
      </c>
      <c r="J127" s="15">
        <f t="shared" si="39"/>
        <v>-1439.01615</v>
      </c>
      <c r="K127" s="15">
        <f t="shared" si="39"/>
        <v>-1439.01615</v>
      </c>
    </row>
    <row r="128" spans="1:11" ht="12.75">
      <c r="A128" s="13" t="s">
        <v>83</v>
      </c>
      <c r="B128" s="15">
        <f>-'Summary Page'!$B$30</f>
        <v>-4300</v>
      </c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>
      <c r="A129" s="13" t="s">
        <v>86</v>
      </c>
      <c r="B129" s="15">
        <f>-'Summary Page'!$B$31</f>
        <v>-17000</v>
      </c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3" t="s">
        <v>85</v>
      </c>
      <c r="B130" s="15">
        <f>-'Summary Page'!$B$32</f>
        <v>-7500</v>
      </c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" hidden="1">
      <c r="A131" s="13" t="s">
        <v>93</v>
      </c>
      <c r="B131" s="113">
        <f>IF(B103&gt;=1000,1000*B104*B107,B103*B104*B107)</f>
        <v>0</v>
      </c>
      <c r="C131" s="113">
        <f>IF(($B131/$B107)-B131&gt;=0.1,((($B131/$B107)-$B131)/$B$7),0)</f>
        <v>0</v>
      </c>
      <c r="D131" s="113">
        <f>IF(($B131/$B107)-B131-C131&gt;=0.1,((($B131/$B107)-$B131)/$B$7),0)</f>
        <v>0</v>
      </c>
      <c r="E131" s="113">
        <f>IF(($B131/$B107)-B131-C131-D131&gt;=0.1,((($B131/$B107)-$B131)/$B$7),0)</f>
        <v>0</v>
      </c>
      <c r="F131" s="113">
        <f>IF(($B131/$B107)-B131-C131-D131-E131&gt;=0.1,((($B131/$B107)-$B131)/$B$7),0)</f>
        <v>0</v>
      </c>
      <c r="G131" s="113">
        <f>IF(($B131/$B107)-B131-C131-D131-E131-F131&gt;=0.1,((($B131/$B107)-$B131)/$B$7),0)</f>
        <v>0</v>
      </c>
      <c r="H131" s="113">
        <f>IF(($B131/$B107)-B131-C131-D131-E131-F131-G131&gt;=0.1,((($B131/$B107)-$B131)/$B$7),0)</f>
        <v>0</v>
      </c>
      <c r="I131" s="113">
        <f>IF(($B131/$B107)-B131-C131-D131-E131-F131-G131-H131&gt;=0.1,((($B131/$B107)-$B131)/$B$7),0)</f>
        <v>0</v>
      </c>
      <c r="J131" s="113">
        <f>IF(($B131/$B107)-B131-C131-D131-E131-F131-G131-H131-I131&gt;=0.1,((($B131/$B107)-$B131)/$B$7),0)</f>
        <v>0</v>
      </c>
      <c r="K131" s="113">
        <f>IF(($B131/$B107)-B131-C131-D131-E131-F131-G131-H131-I131-J131&gt;=0.1,((($B131/$B107)-$B131)/$B$7),0)</f>
        <v>0</v>
      </c>
    </row>
    <row r="132" spans="1:11" ht="12" hidden="1">
      <c r="A132" s="13" t="s">
        <v>94</v>
      </c>
      <c r="B132" s="113">
        <f>IF(AND(B103&gt;=0,B103&lt;=2000),(B103-1000)*B105*B107,1000*B105*B107)</f>
        <v>0</v>
      </c>
      <c r="C132" s="113">
        <f>IF(($B132/$B107)-B132&gt;=0.1,((($B132/$B107)-$B132)/$B$7),0)</f>
        <v>0</v>
      </c>
      <c r="D132" s="113">
        <f>IF(($B132/$B107)-B132-C132&gt;=0.1,((($B132/$B107)-$B132)/$B$7),0)</f>
        <v>0</v>
      </c>
      <c r="E132" s="113">
        <f>IF(($B132/$B107)-B132-C132-D132&gt;=0.1,((($B132/$B107)-$B132)/$B$7),0)</f>
        <v>0</v>
      </c>
      <c r="F132" s="113">
        <f>IF(($B132/$B107)-B132-C132-D132-E132&gt;=0.1,((($B132/$B107)-$B132)/$B$7),0)</f>
        <v>0</v>
      </c>
      <c r="G132" s="113">
        <f>IF(($B132/$B107)-B132-C132-D132-E132-F132&gt;=0.1,((($B132/$B107)-$B132)/$B$7),0)</f>
        <v>0</v>
      </c>
      <c r="H132" s="113">
        <f>IF(($B132/$B107)-B132-C132-D132-E132-F132-G132&gt;=0.1,((($B132/$B107)-$B132)/$B$7),0)</f>
        <v>0</v>
      </c>
      <c r="I132" s="113">
        <f>IF(($B132/$B107)-B132-C132-D132-E132-F132-G132-H132&gt;=0.1,((($B132/$B107)-$B132)/$B$7),0)</f>
        <v>0</v>
      </c>
      <c r="J132" s="113">
        <f>IF(($B132/$B107)-B132-C132-D132-E132-F132-G132-H132-I132&gt;=0.1,((($B132/$B107)-$B132)/$B$7),0)</f>
        <v>0</v>
      </c>
      <c r="K132" s="113">
        <f>IF(($B132/$B107)-B132-C132-D132-E132-F132-G132-H132-I132-J132&gt;=0.1,((($B132/$B107)-$B132)/$B$7),0)</f>
        <v>0</v>
      </c>
    </row>
    <row r="133" spans="1:11" ht="12" hidden="1">
      <c r="A133" s="13" t="s">
        <v>95</v>
      </c>
      <c r="B133" s="113">
        <f>IF(AND(B103&gt;=0,B103&lt;=3000),(B103-2000)*B106*B107,1000*B106*B107)</f>
        <v>0</v>
      </c>
      <c r="C133" s="113">
        <f>IF(($B133/$B107)-B133&gt;=0.1,((($B133/$B107)-$B133)/$B$7),0)</f>
        <v>0</v>
      </c>
      <c r="D133" s="113">
        <f>IF(($B133/$B107)-B133-C133&gt;=0.1,((($B133/$B107)-$B133)/$B$7),0)</f>
        <v>0</v>
      </c>
      <c r="E133" s="113">
        <f>IF(($B133/$B107)-B133-C133-D133&gt;=0.1,((($B133/$B107)-$B133)/$B$7),0)</f>
        <v>0</v>
      </c>
      <c r="F133" s="113">
        <f>IF(($B133/$B107)-B133-C133-D133-E133&gt;=0.1,((($B133/$B107)-$B133)/$B$7),0)</f>
        <v>0</v>
      </c>
      <c r="G133" s="113">
        <f>IF(($B133/$B107)-B133-C133-D133-E133-F133&gt;=0.1,((($B133/$B107)-$B133)/$B$7),0)</f>
        <v>0</v>
      </c>
      <c r="H133" s="113">
        <f>IF(($B133/$B107)-B133-C133-D133-E133-F133-G133&gt;=0.1,((($B133/$B107)-$B133)/$B$7),0)</f>
        <v>0</v>
      </c>
      <c r="I133" s="113">
        <f>IF(($B133/$B107)-B133-C133-D133-E133-F133-G133-H133&gt;=0.1,((($B133/$B107)-$B133)/$B$7),0)</f>
        <v>0</v>
      </c>
      <c r="J133" s="113">
        <f>IF(($B133/$B107)-B133-C133-D133-E133-F133-G133-H133-I133&gt;=0.1,((($B133/$B107)-$B133)/$B$7),0)</f>
        <v>0</v>
      </c>
      <c r="K133" s="113">
        <f>IF(($B133/$B107)-B133-C133-D133-E133-F133-G133-H133-I133-J133&gt;=0.1,((($B133/$B107)-$B133)/$B$7),0)</f>
        <v>0</v>
      </c>
    </row>
    <row r="134" spans="1:12" ht="12.75">
      <c r="A134" s="13" t="s">
        <v>96</v>
      </c>
      <c r="B134" s="12">
        <f aca="true" t="shared" si="40" ref="B134:K134">IF(B132&lt;=0,0,B132)+IF(B133&lt;=0,0,B133)+B131</f>
        <v>0</v>
      </c>
      <c r="C134" s="12">
        <f t="shared" si="40"/>
        <v>0</v>
      </c>
      <c r="D134" s="12">
        <f t="shared" si="40"/>
        <v>0</v>
      </c>
      <c r="E134" s="12">
        <f t="shared" si="40"/>
        <v>0</v>
      </c>
      <c r="F134" s="12">
        <f t="shared" si="40"/>
        <v>0</v>
      </c>
      <c r="G134" s="12">
        <f t="shared" si="40"/>
        <v>0</v>
      </c>
      <c r="H134" s="12">
        <f t="shared" si="40"/>
        <v>0</v>
      </c>
      <c r="I134" s="12">
        <f t="shared" si="40"/>
        <v>0</v>
      </c>
      <c r="J134" s="12">
        <f t="shared" si="40"/>
        <v>0</v>
      </c>
      <c r="K134" s="12">
        <f t="shared" si="40"/>
        <v>0</v>
      </c>
      <c r="L134" s="12"/>
    </row>
    <row r="135" spans="1:11" ht="12.75">
      <c r="A135" t="s">
        <v>36</v>
      </c>
      <c r="B135" s="12">
        <f aca="true" t="shared" si="41" ref="B135:K135">IF($B$12="yes",(B134*0.2),0)</f>
        <v>0</v>
      </c>
      <c r="C135" s="12">
        <f t="shared" si="41"/>
        <v>0</v>
      </c>
      <c r="D135" s="12">
        <f t="shared" si="41"/>
        <v>0</v>
      </c>
      <c r="E135" s="12">
        <f t="shared" si="41"/>
        <v>0</v>
      </c>
      <c r="F135" s="12">
        <f t="shared" si="41"/>
        <v>0</v>
      </c>
      <c r="G135" s="12">
        <f t="shared" si="41"/>
        <v>0</v>
      </c>
      <c r="H135" s="12">
        <f t="shared" si="41"/>
        <v>0</v>
      </c>
      <c r="I135" s="12">
        <f t="shared" si="41"/>
        <v>0</v>
      </c>
      <c r="J135" s="12">
        <f t="shared" si="41"/>
        <v>0</v>
      </c>
      <c r="K135" s="12">
        <f t="shared" si="41"/>
        <v>0</v>
      </c>
    </row>
    <row r="136" spans="1:4" ht="12.75" hidden="1">
      <c r="A136" t="s">
        <v>54</v>
      </c>
      <c r="B136" s="12">
        <f>((D102)-SUM(B134:K135))*D105</f>
        <v>487589</v>
      </c>
      <c r="C136" s="12"/>
      <c r="D136" s="12"/>
    </row>
    <row r="137" spans="1:4" ht="12.75">
      <c r="A137" t="s">
        <v>53</v>
      </c>
      <c r="B137" s="12">
        <f>MIN(B136:B136)</f>
        <v>487589</v>
      </c>
      <c r="C137" s="12"/>
      <c r="D137" s="12"/>
    </row>
    <row r="138" spans="1:13" ht="12.75">
      <c r="A138" t="s">
        <v>38</v>
      </c>
      <c r="B138" s="16">
        <f>-$D102+B119+B124+B125+B126+B127++B128+B129+B130+B134+B135+B137</f>
        <v>-3970245.2641499992</v>
      </c>
      <c r="C138" s="16">
        <f aca="true" t="shared" si="42" ref="C138:K138">C119+C124+C125+C126+C127+C134+C135+C137</f>
        <v>458741.97801960015</v>
      </c>
      <c r="D138" s="16">
        <f t="shared" si="42"/>
        <v>470669.77582646214</v>
      </c>
      <c r="E138" s="16">
        <f t="shared" si="42"/>
        <v>482640.28581119137</v>
      </c>
      <c r="F138" s="16">
        <f t="shared" si="42"/>
        <v>494654.66835553746</v>
      </c>
      <c r="G138" s="16">
        <f t="shared" si="42"/>
        <v>506714.08779496705</v>
      </c>
      <c r="H138" s="16">
        <f t="shared" si="42"/>
        <v>518819.71253158996</v>
      </c>
      <c r="I138" s="16">
        <f t="shared" si="42"/>
        <v>530972.7151474522</v>
      </c>
      <c r="J138" s="16">
        <f t="shared" si="42"/>
        <v>543174.2725182022</v>
      </c>
      <c r="K138" s="16">
        <f t="shared" si="42"/>
        <v>555425.5659271451</v>
      </c>
      <c r="L138" s="16"/>
      <c r="M138" s="16"/>
    </row>
    <row r="139" spans="1:11" ht="12.75">
      <c r="A139" t="s">
        <v>39</v>
      </c>
      <c r="B139" s="16">
        <f>B138</f>
        <v>-3970245.2641499992</v>
      </c>
      <c r="C139" s="16">
        <f aca="true" t="shared" si="43" ref="C139:K139">B139+C138</f>
        <v>-3511503.286130399</v>
      </c>
      <c r="D139" s="16">
        <f t="shared" si="43"/>
        <v>-3040833.510303937</v>
      </c>
      <c r="E139" s="16">
        <f t="shared" si="43"/>
        <v>-2558193.2244927455</v>
      </c>
      <c r="F139" s="16">
        <f t="shared" si="43"/>
        <v>-2063538.556137208</v>
      </c>
      <c r="G139" s="16">
        <f t="shared" si="43"/>
        <v>-1556824.468342241</v>
      </c>
      <c r="H139" s="16">
        <f t="shared" si="43"/>
        <v>-1038004.755810651</v>
      </c>
      <c r="I139" s="16">
        <f t="shared" si="43"/>
        <v>-507032.0406631988</v>
      </c>
      <c r="J139" s="16">
        <f t="shared" si="43"/>
        <v>36142.231855003396</v>
      </c>
      <c r="K139" s="16">
        <f t="shared" si="43"/>
        <v>591567.7977821485</v>
      </c>
    </row>
    <row r="140" spans="2:11" ht="12.75">
      <c r="B140" s="17"/>
      <c r="C140" s="17"/>
      <c r="D140" s="18"/>
      <c r="E140" s="18"/>
      <c r="F140" s="18"/>
      <c r="G140" s="19"/>
      <c r="H140" s="19"/>
      <c r="I140" s="17"/>
      <c r="J140" s="17"/>
      <c r="K140" s="17"/>
    </row>
    <row r="141" spans="1:11" ht="12.75">
      <c r="A141" s="20" t="s">
        <v>40</v>
      </c>
      <c r="B141" s="21">
        <f>(NPV($B$8,C138:K138))+$B$138</f>
        <v>-395358.9357470074</v>
      </c>
      <c r="C141" s="18"/>
      <c r="E141" s="18"/>
      <c r="F141" s="18"/>
      <c r="G141" s="19"/>
      <c r="H141" s="19"/>
      <c r="I141" s="17"/>
      <c r="J141" s="17"/>
      <c r="K141" s="17"/>
    </row>
    <row r="142" spans="1:11" ht="12.75">
      <c r="A142" s="22" t="s">
        <v>41</v>
      </c>
      <c r="B142" s="23">
        <f>IRR(B138:K138)</f>
        <v>0.027785851117276827</v>
      </c>
      <c r="C142" s="18"/>
      <c r="D142" s="18"/>
      <c r="E142" s="18"/>
      <c r="F142" s="24"/>
      <c r="G142" s="19"/>
      <c r="H142" s="19"/>
      <c r="I142" s="17"/>
      <c r="J142" s="17"/>
      <c r="K142" s="17"/>
    </row>
    <row r="143" spans="1:11" ht="12.75">
      <c r="A143" s="25" t="s">
        <v>42</v>
      </c>
      <c r="B143" s="26">
        <f>COUNTIF(B139:K139,"&lt;0")+1-INDEX(B139:K139,COUNTIF(B139:K139,"&lt;0")+1)/INDEX(B138:K138,COUNTIF(B139:K139,"&lt;0")+1)</f>
        <v>8.933461075600203</v>
      </c>
      <c r="C143" s="18"/>
      <c r="E143" s="18"/>
      <c r="F143" s="18"/>
      <c r="G143" s="19"/>
      <c r="H143" s="19"/>
      <c r="I143" s="17"/>
      <c r="J143" s="17"/>
      <c r="K143" s="17"/>
    </row>
    <row r="144" spans="1:11" ht="12.75">
      <c r="A144" s="27"/>
      <c r="B144" s="28"/>
      <c r="C144" s="18"/>
      <c r="E144" s="18"/>
      <c r="F144" s="18"/>
      <c r="G144" s="19"/>
      <c r="H144" s="19"/>
      <c r="I144" s="17"/>
      <c r="J144" s="17"/>
      <c r="K144" s="17"/>
    </row>
    <row r="145" ht="12.75">
      <c r="A145" s="7"/>
    </row>
    <row r="146" spans="1:7" ht="12.75">
      <c r="A146" s="29" t="s">
        <v>43</v>
      </c>
      <c r="F146" s="11"/>
      <c r="G146" s="11"/>
    </row>
    <row r="147" spans="1:12" ht="12.75">
      <c r="A147" s="20" t="s">
        <v>26</v>
      </c>
      <c r="B147" s="30">
        <v>2010</v>
      </c>
      <c r="C147" s="30">
        <v>2011</v>
      </c>
      <c r="D147" s="30">
        <v>2012</v>
      </c>
      <c r="E147" s="30">
        <v>2013</v>
      </c>
      <c r="F147" s="30">
        <v>2014</v>
      </c>
      <c r="G147" s="30">
        <v>2015</v>
      </c>
      <c r="H147" s="30">
        <v>2016</v>
      </c>
      <c r="I147" s="30">
        <v>2017</v>
      </c>
      <c r="J147" s="30">
        <v>2018</v>
      </c>
      <c r="K147" s="30">
        <v>2019</v>
      </c>
      <c r="L147" s="31">
        <v>2020</v>
      </c>
    </row>
    <row r="148" spans="1:12" ht="12.75">
      <c r="A148" s="2" t="s">
        <v>44</v>
      </c>
      <c r="B148" s="32">
        <v>6.2</v>
      </c>
      <c r="C148" s="32">
        <v>7.04</v>
      </c>
      <c r="D148" s="32">
        <v>7.24</v>
      </c>
      <c r="E148" s="32">
        <v>7.36</v>
      </c>
      <c r="F148" s="32">
        <v>7.5</v>
      </c>
      <c r="G148" s="32">
        <v>7.66</v>
      </c>
      <c r="H148" s="32">
        <v>7.81</v>
      </c>
      <c r="I148" s="32">
        <v>7.97</v>
      </c>
      <c r="J148" s="32">
        <v>8.13</v>
      </c>
      <c r="K148" s="32">
        <v>8.29</v>
      </c>
      <c r="L148" s="33">
        <v>8.45</v>
      </c>
    </row>
    <row r="149" spans="1:12" ht="12.75">
      <c r="A149" s="6" t="s">
        <v>45</v>
      </c>
      <c r="B149" s="34">
        <f>$D108</f>
        <v>0.117969</v>
      </c>
      <c r="C149" s="34">
        <f aca="true" t="shared" si="44" ref="C149:K149">($D108)*(1+$B111)^B116</f>
        <v>0.12032838000000001</v>
      </c>
      <c r="D149" s="34">
        <f t="shared" si="44"/>
        <v>0.1227349476</v>
      </c>
      <c r="E149" s="34">
        <f t="shared" si="44"/>
        <v>0.125189646552</v>
      </c>
      <c r="F149" s="34">
        <f t="shared" si="44"/>
        <v>0.12769343948304</v>
      </c>
      <c r="G149" s="34">
        <f t="shared" si="44"/>
        <v>0.1302473082727008</v>
      </c>
      <c r="H149" s="34">
        <f t="shared" si="44"/>
        <v>0.13285225443815482</v>
      </c>
      <c r="I149" s="34">
        <f t="shared" si="44"/>
        <v>0.1355092995269179</v>
      </c>
      <c r="J149" s="34">
        <f t="shared" si="44"/>
        <v>0.13821948551745628</v>
      </c>
      <c r="K149" s="34">
        <f t="shared" si="44"/>
        <v>0.1409838752278054</v>
      </c>
      <c r="L149" s="107">
        <f>K149*(1+$B$10)</f>
        <v>0.1438035527323615</v>
      </c>
    </row>
    <row r="150" spans="1:12" ht="12.75">
      <c r="A150" s="92"/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34"/>
    </row>
    <row r="151" spans="1:12" ht="12.75">
      <c r="A151" s="92"/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34"/>
    </row>
    <row r="152" spans="1:13" ht="12.75">
      <c r="A152" s="38" t="s">
        <v>0</v>
      </c>
      <c r="B152" s="81" t="str">
        <f>'Summary Page'!A11</f>
        <v>Fuel Cell - CHP (Biogas)</v>
      </c>
      <c r="C152" s="38" t="s">
        <v>1</v>
      </c>
      <c r="D152" s="41">
        <f>(D153*B153)-B178-B179-B180</f>
        <v>3936198.290571428</v>
      </c>
      <c r="E152" s="1"/>
      <c r="L152" s="3"/>
      <c r="M152" s="3"/>
    </row>
    <row r="153" spans="1:13" ht="12.75">
      <c r="A153" s="38" t="s">
        <v>3</v>
      </c>
      <c r="B153" s="42">
        <f>VLOOKUP(B152,'Summary Page'!$A$7:$K$19,2,0)</f>
        <v>400</v>
      </c>
      <c r="C153" s="38" t="s">
        <v>4</v>
      </c>
      <c r="D153" s="41">
        <f>VLOOKUP(B152,'Summary Page'!$A$7:$K$19,3,0)</f>
        <v>9768.49572642857</v>
      </c>
      <c r="E153" s="1"/>
      <c r="J153" s="3"/>
      <c r="L153" s="3"/>
      <c r="M153" s="3"/>
    </row>
    <row r="154" spans="1:13" ht="12.75">
      <c r="A154" s="38" t="s">
        <v>90</v>
      </c>
      <c r="B154" s="41">
        <f>VLOOKUP(B152,'Summary Page'!$A$7:$K$19,11,0)</f>
        <v>0</v>
      </c>
      <c r="C154" s="82" t="s">
        <v>6</v>
      </c>
      <c r="D154" s="83">
        <f>VLOOKUP(B152,'Summary Page'!$A$7:$K$19,4,0)</f>
        <v>0.054</v>
      </c>
      <c r="E154" s="1"/>
      <c r="J154" s="3"/>
      <c r="L154" s="3"/>
      <c r="M154" s="3"/>
    </row>
    <row r="155" spans="1:13" ht="12.75">
      <c r="A155" s="38" t="s">
        <v>91</v>
      </c>
      <c r="B155" s="41">
        <f>(VLOOKUP(B152,'Summary Page'!$A$7:$K$19,11,0))*'Summary Page'!$B$39</f>
        <v>0</v>
      </c>
      <c r="C155" s="85" t="s">
        <v>8</v>
      </c>
      <c r="D155" s="86">
        <f>VLOOKUP(B152,'Summary Page'!$A$7:$K$19,5,0)</f>
        <v>0.3</v>
      </c>
      <c r="E155" s="5"/>
      <c r="J155" s="3"/>
      <c r="L155" s="3"/>
      <c r="M155" s="3"/>
    </row>
    <row r="156" spans="1:13" ht="12.75">
      <c r="A156" s="38" t="s">
        <v>92</v>
      </c>
      <c r="B156" s="41">
        <f>(VLOOKUP(B152,'Summary Page'!$A$7:$K$19,11,0))*'Summary Page'!$B$40</f>
        <v>0</v>
      </c>
      <c r="C156" s="85" t="s">
        <v>10</v>
      </c>
      <c r="D156" s="86">
        <f>VLOOKUP(B152,'Summary Page'!$A$7:$K$19,8,0)</f>
        <v>0.412</v>
      </c>
      <c r="E156" s="5"/>
      <c r="J156" s="3"/>
      <c r="L156" s="3"/>
      <c r="M156" s="3"/>
    </row>
    <row r="157" spans="1:13" ht="12.75">
      <c r="A157" s="39" t="s">
        <v>7</v>
      </c>
      <c r="B157" s="84">
        <f>'Summary Page'!$B$23</f>
        <v>0.25</v>
      </c>
      <c r="C157" s="85" t="s">
        <v>13</v>
      </c>
      <c r="D157" s="86">
        <f>VLOOKUP(B152,'Summary Page'!$A$7:$K$19,9,0)</f>
        <v>0.412</v>
      </c>
      <c r="J157" s="3"/>
      <c r="L157" s="3"/>
      <c r="M157" s="3"/>
    </row>
    <row r="158" spans="1:13" ht="12.75">
      <c r="A158" s="39" t="s">
        <v>9</v>
      </c>
      <c r="B158" s="87">
        <f>'Summary Page'!$B$24</f>
        <v>5</v>
      </c>
      <c r="C158" s="40" t="s">
        <v>15</v>
      </c>
      <c r="D158" s="88">
        <f>'Summary Page'!$B$27</f>
        <v>0.117969</v>
      </c>
      <c r="J158" s="3"/>
      <c r="L158" s="3"/>
      <c r="M158" s="3"/>
    </row>
    <row r="159" spans="1:13" ht="12.75">
      <c r="A159" s="38" t="s">
        <v>12</v>
      </c>
      <c r="B159" s="43">
        <f>'Summary Page'!$B$26</f>
        <v>0.05</v>
      </c>
      <c r="C159" s="38" t="s">
        <v>17</v>
      </c>
      <c r="D159" s="41">
        <f>'Summary Page'!$B$29</f>
        <v>1439.01615</v>
      </c>
      <c r="J159" s="3"/>
      <c r="L159" s="3"/>
      <c r="M159" s="3"/>
    </row>
    <row r="160" spans="1:13" ht="12.75">
      <c r="A160" s="38" t="s">
        <v>14</v>
      </c>
      <c r="B160" s="43">
        <f>'Summary Page'!$B$35</f>
        <v>0.01</v>
      </c>
      <c r="C160" s="38" t="s">
        <v>19</v>
      </c>
      <c r="D160" s="42">
        <f>'Summary Page'!$B$34</f>
        <v>8760</v>
      </c>
      <c r="J160" s="3"/>
      <c r="L160" s="3"/>
      <c r="M160" s="3"/>
    </row>
    <row r="161" spans="1:13" ht="12.75">
      <c r="A161" s="39" t="s">
        <v>16</v>
      </c>
      <c r="B161" s="43">
        <f>'Summary Page'!$B$28</f>
        <v>0.02</v>
      </c>
      <c r="C161" s="38" t="s">
        <v>20</v>
      </c>
      <c r="D161" s="90">
        <f>'Summary Page'!$B$33</f>
        <v>6.2</v>
      </c>
      <c r="J161" s="3"/>
      <c r="L161" s="3"/>
      <c r="M161" s="3"/>
    </row>
    <row r="162" spans="1:13" ht="12.75">
      <c r="A162" s="39" t="s">
        <v>18</v>
      </c>
      <c r="B162" s="43">
        <f>VLOOKUP(B152,'Summary Page'!$A$7:$K$19,10,0)</f>
        <v>0.8</v>
      </c>
      <c r="C162" s="38" t="s">
        <v>77</v>
      </c>
      <c r="D162" s="84">
        <f>'Summary Page'!$B$36</f>
        <v>0.8</v>
      </c>
      <c r="J162" s="3"/>
      <c r="L162" s="3"/>
      <c r="M162" s="3"/>
    </row>
    <row r="163" spans="1:13" ht="12.75">
      <c r="A163" s="39" t="s">
        <v>22</v>
      </c>
      <c r="B163" s="89" t="str">
        <f>'Summary Page'!$B$25</f>
        <v>Yes</v>
      </c>
      <c r="C163" s="39" t="s">
        <v>24</v>
      </c>
      <c r="D163" s="91">
        <f>D164/D156</f>
        <v>8281.895631067962</v>
      </c>
      <c r="L163" s="3"/>
      <c r="M163" s="3"/>
    </row>
    <row r="164" spans="3:13" ht="12.75">
      <c r="C164" s="39" t="s">
        <v>25</v>
      </c>
      <c r="D164" s="91">
        <f>'Summary Page'!$B$37</f>
        <v>3412.141</v>
      </c>
      <c r="L164" s="3"/>
      <c r="M164" s="3"/>
    </row>
    <row r="165" spans="5:13" ht="12.75">
      <c r="E165" s="9"/>
      <c r="F165" s="9"/>
      <c r="G165" s="9"/>
      <c r="L165" s="3"/>
      <c r="M165" s="3"/>
    </row>
    <row r="166" spans="1:11" ht="12.75">
      <c r="A166" s="10" t="s">
        <v>26</v>
      </c>
      <c r="B166" s="10">
        <v>1</v>
      </c>
      <c r="C166" s="10">
        <v>2</v>
      </c>
      <c r="D166" s="10">
        <v>3</v>
      </c>
      <c r="E166" s="10">
        <v>4</v>
      </c>
      <c r="F166" s="10">
        <v>5</v>
      </c>
      <c r="G166" s="10">
        <v>6</v>
      </c>
      <c r="H166" s="10">
        <v>7</v>
      </c>
      <c r="I166" s="10">
        <v>8</v>
      </c>
      <c r="J166" s="10">
        <v>9</v>
      </c>
      <c r="K166" s="10">
        <v>10</v>
      </c>
    </row>
    <row r="168" spans="1:11" ht="12.75">
      <c r="A168" t="s">
        <v>27</v>
      </c>
      <c r="B168" s="11">
        <f>($B153*$B162*$D160)</f>
        <v>2803200</v>
      </c>
      <c r="C168" s="11">
        <f aca="true" t="shared" si="45" ref="C168:K168">B168*(1-$B$160)</f>
        <v>2775168</v>
      </c>
      <c r="D168" s="11">
        <f t="shared" si="45"/>
        <v>2747416.32</v>
      </c>
      <c r="E168" s="11">
        <f t="shared" si="45"/>
        <v>2719942.1568</v>
      </c>
      <c r="F168" s="11">
        <f t="shared" si="45"/>
        <v>2692742.735232</v>
      </c>
      <c r="G168" s="11">
        <f t="shared" si="45"/>
        <v>2665815.30787968</v>
      </c>
      <c r="H168" s="11">
        <f t="shared" si="45"/>
        <v>2639157.154800883</v>
      </c>
      <c r="I168" s="11">
        <f t="shared" si="45"/>
        <v>2612765.583252874</v>
      </c>
      <c r="J168" s="11">
        <f t="shared" si="45"/>
        <v>2586637.9274203456</v>
      </c>
      <c r="K168" s="11">
        <f t="shared" si="45"/>
        <v>2560771.548146142</v>
      </c>
    </row>
    <row r="169" spans="1:11" ht="12.75">
      <c r="A169" t="s">
        <v>28</v>
      </c>
      <c r="B169" s="12">
        <f aca="true" t="shared" si="46" ref="B169:K169">B168*B200</f>
        <v>330690.7008</v>
      </c>
      <c r="C169" s="12">
        <f t="shared" si="46"/>
        <v>333931.46966784005</v>
      </c>
      <c r="D169" s="12">
        <f t="shared" si="46"/>
        <v>337203.99807058484</v>
      </c>
      <c r="E169" s="12">
        <f t="shared" si="46"/>
        <v>340508.59725167655</v>
      </c>
      <c r="F169" s="12">
        <f t="shared" si="46"/>
        <v>343845.5815047429</v>
      </c>
      <c r="G169" s="12">
        <f t="shared" si="46"/>
        <v>347215.2682034895</v>
      </c>
      <c r="H169" s="12">
        <f t="shared" si="46"/>
        <v>350617.97783188365</v>
      </c>
      <c r="I169" s="12">
        <f t="shared" si="46"/>
        <v>354054.03401463607</v>
      </c>
      <c r="J169" s="12">
        <f t="shared" si="46"/>
        <v>357523.7635479796</v>
      </c>
      <c r="K169" s="12">
        <f t="shared" si="46"/>
        <v>361027.4964307498</v>
      </c>
    </row>
    <row r="170" spans="1:11" ht="12.75">
      <c r="A170" t="s">
        <v>29</v>
      </c>
      <c r="B170" s="11">
        <f>(D163*B168)/1000000</f>
        <v>23215.809833009713</v>
      </c>
      <c r="C170" s="11">
        <f>B170</f>
        <v>23215.809833009713</v>
      </c>
      <c r="D170" s="11">
        <f aca="true" t="shared" si="47" ref="D170:K170">C170</f>
        <v>23215.809833009713</v>
      </c>
      <c r="E170" s="11">
        <f t="shared" si="47"/>
        <v>23215.809833009713</v>
      </c>
      <c r="F170" s="11">
        <f t="shared" si="47"/>
        <v>23215.809833009713</v>
      </c>
      <c r="G170" s="11">
        <f t="shared" si="47"/>
        <v>23215.809833009713</v>
      </c>
      <c r="H170" s="11">
        <f t="shared" si="47"/>
        <v>23215.809833009713</v>
      </c>
      <c r="I170" s="11">
        <f t="shared" si="47"/>
        <v>23215.809833009713</v>
      </c>
      <c r="J170" s="11">
        <f t="shared" si="47"/>
        <v>23215.809833009713</v>
      </c>
      <c r="K170" s="11">
        <f t="shared" si="47"/>
        <v>23215.809833009713</v>
      </c>
    </row>
    <row r="171" spans="1:11" ht="12.75">
      <c r="A171" s="13" t="s">
        <v>30</v>
      </c>
      <c r="B171" s="11">
        <f>(B170*$D157)-(B168/1000)*$D164/1000</f>
        <v>0</v>
      </c>
      <c r="C171" s="11">
        <f aca="true" t="shared" si="48" ref="C171:K171">(B171)*(1-$B$9)</f>
        <v>0</v>
      </c>
      <c r="D171" s="11">
        <f t="shared" si="48"/>
        <v>0</v>
      </c>
      <c r="E171" s="11">
        <f t="shared" si="48"/>
        <v>0</v>
      </c>
      <c r="F171" s="11">
        <f t="shared" si="48"/>
        <v>0</v>
      </c>
      <c r="G171" s="11">
        <f t="shared" si="48"/>
        <v>0</v>
      </c>
      <c r="H171" s="11">
        <f t="shared" si="48"/>
        <v>0</v>
      </c>
      <c r="I171" s="11">
        <f t="shared" si="48"/>
        <v>0</v>
      </c>
      <c r="J171" s="11">
        <f t="shared" si="48"/>
        <v>0</v>
      </c>
      <c r="K171" s="11">
        <f t="shared" si="48"/>
        <v>0</v>
      </c>
    </row>
    <row r="172" spans="1:11" ht="12.75">
      <c r="A172" t="s">
        <v>31</v>
      </c>
      <c r="B172" s="14">
        <f>B171/(B170-(B168/1000)*$D164/1000)</f>
        <v>0</v>
      </c>
      <c r="C172" s="14">
        <f aca="true" t="shared" si="49" ref="C172:K172">B172*(1-$B160)</f>
        <v>0</v>
      </c>
      <c r="D172" s="14">
        <f t="shared" si="49"/>
        <v>0</v>
      </c>
      <c r="E172" s="14">
        <f t="shared" si="49"/>
        <v>0</v>
      </c>
      <c r="F172" s="14">
        <f t="shared" si="49"/>
        <v>0</v>
      </c>
      <c r="G172" s="14">
        <f t="shared" si="49"/>
        <v>0</v>
      </c>
      <c r="H172" s="14">
        <f t="shared" si="49"/>
        <v>0</v>
      </c>
      <c r="I172" s="14">
        <f t="shared" si="49"/>
        <v>0</v>
      </c>
      <c r="J172" s="14">
        <f t="shared" si="49"/>
        <v>0</v>
      </c>
      <c r="K172" s="14">
        <f t="shared" si="49"/>
        <v>0</v>
      </c>
    </row>
    <row r="173" spans="1:11" ht="12.75">
      <c r="A173" t="s">
        <v>32</v>
      </c>
      <c r="B173" s="11">
        <f>B171/$D162</f>
        <v>0</v>
      </c>
      <c r="C173" s="11">
        <f aca="true" t="shared" si="50" ref="C173:K173">C171/$D162</f>
        <v>0</v>
      </c>
      <c r="D173" s="11">
        <f t="shared" si="50"/>
        <v>0</v>
      </c>
      <c r="E173" s="11">
        <f t="shared" si="50"/>
        <v>0</v>
      </c>
      <c r="F173" s="11">
        <f t="shared" si="50"/>
        <v>0</v>
      </c>
      <c r="G173" s="11">
        <f t="shared" si="50"/>
        <v>0</v>
      </c>
      <c r="H173" s="11">
        <f t="shared" si="50"/>
        <v>0</v>
      </c>
      <c r="I173" s="11">
        <f t="shared" si="50"/>
        <v>0</v>
      </c>
      <c r="J173" s="11">
        <f t="shared" si="50"/>
        <v>0</v>
      </c>
      <c r="K173" s="11">
        <f t="shared" si="50"/>
        <v>0</v>
      </c>
    </row>
    <row r="174" spans="1:11" ht="12.75">
      <c r="A174" t="s">
        <v>33</v>
      </c>
      <c r="B174" s="12">
        <f aca="true" t="shared" si="51" ref="B174:K174">B173*B199</f>
        <v>0</v>
      </c>
      <c r="C174" s="12">
        <f t="shared" si="51"/>
        <v>0</v>
      </c>
      <c r="D174" s="12">
        <f t="shared" si="51"/>
        <v>0</v>
      </c>
      <c r="E174" s="12">
        <f t="shared" si="51"/>
        <v>0</v>
      </c>
      <c r="F174" s="12">
        <f t="shared" si="51"/>
        <v>0</v>
      </c>
      <c r="G174" s="12">
        <f t="shared" si="51"/>
        <v>0</v>
      </c>
      <c r="H174" s="12">
        <f t="shared" si="51"/>
        <v>0</v>
      </c>
      <c r="I174" s="12">
        <f t="shared" si="51"/>
        <v>0</v>
      </c>
      <c r="J174" s="12">
        <f t="shared" si="51"/>
        <v>0</v>
      </c>
      <c r="K174" s="12">
        <f t="shared" si="51"/>
        <v>0</v>
      </c>
    </row>
    <row r="175" spans="1:11" ht="12.75">
      <c r="A175" t="s">
        <v>34</v>
      </c>
      <c r="B175" s="15">
        <f aca="true" t="shared" si="52" ref="B175:K175">IF($B$152="Fuel Cell - CHP (Biogas)",0,-B170*B199)</f>
        <v>0</v>
      </c>
      <c r="C175" s="15">
        <f t="shared" si="52"/>
        <v>0</v>
      </c>
      <c r="D175" s="15">
        <f t="shared" si="52"/>
        <v>0</v>
      </c>
      <c r="E175" s="15">
        <f t="shared" si="52"/>
        <v>0</v>
      </c>
      <c r="F175" s="15">
        <f t="shared" si="52"/>
        <v>0</v>
      </c>
      <c r="G175" s="15">
        <f t="shared" si="52"/>
        <v>0</v>
      </c>
      <c r="H175" s="15">
        <f t="shared" si="52"/>
        <v>0</v>
      </c>
      <c r="I175" s="15">
        <f t="shared" si="52"/>
        <v>0</v>
      </c>
      <c r="J175" s="15">
        <f t="shared" si="52"/>
        <v>0</v>
      </c>
      <c r="K175" s="15">
        <f t="shared" si="52"/>
        <v>0</v>
      </c>
    </row>
    <row r="176" spans="1:11" ht="12.75">
      <c r="A176" t="s">
        <v>35</v>
      </c>
      <c r="B176" s="15">
        <f>B168*(-$D154)</f>
        <v>-151372.8</v>
      </c>
      <c r="C176" s="15">
        <f aca="true" t="shared" si="53" ref="C176:K176">C168*(-$D154)</f>
        <v>-149859.072</v>
      </c>
      <c r="D176" s="15">
        <f t="shared" si="53"/>
        <v>-148360.48127999998</v>
      </c>
      <c r="E176" s="15">
        <f t="shared" si="53"/>
        <v>-146876.8764672</v>
      </c>
      <c r="F176" s="15">
        <f t="shared" si="53"/>
        <v>-145408.10770252798</v>
      </c>
      <c r="G176" s="15">
        <f t="shared" si="53"/>
        <v>-143954.0266255027</v>
      </c>
      <c r="H176" s="15">
        <f t="shared" si="53"/>
        <v>-142514.48635924768</v>
      </c>
      <c r="I176" s="15">
        <f t="shared" si="53"/>
        <v>-141089.34149565522</v>
      </c>
      <c r="J176" s="15">
        <f t="shared" si="53"/>
        <v>-139678.44808069867</v>
      </c>
      <c r="K176" s="15">
        <f t="shared" si="53"/>
        <v>-138281.66359989168</v>
      </c>
    </row>
    <row r="177" spans="1:11" ht="12.75">
      <c r="A177" s="13" t="s">
        <v>78</v>
      </c>
      <c r="B177" s="15">
        <f>-$D159</f>
        <v>-1439.01615</v>
      </c>
      <c r="C177" s="15">
        <f aca="true" t="shared" si="54" ref="C177:K177">-$D159</f>
        <v>-1439.01615</v>
      </c>
      <c r="D177" s="15">
        <f t="shared" si="54"/>
        <v>-1439.01615</v>
      </c>
      <c r="E177" s="15">
        <f t="shared" si="54"/>
        <v>-1439.01615</v>
      </c>
      <c r="F177" s="15">
        <f t="shared" si="54"/>
        <v>-1439.01615</v>
      </c>
      <c r="G177" s="15">
        <f t="shared" si="54"/>
        <v>-1439.01615</v>
      </c>
      <c r="H177" s="15">
        <f t="shared" si="54"/>
        <v>-1439.01615</v>
      </c>
      <c r="I177" s="15">
        <f t="shared" si="54"/>
        <v>-1439.01615</v>
      </c>
      <c r="J177" s="15">
        <f t="shared" si="54"/>
        <v>-1439.01615</v>
      </c>
      <c r="K177" s="15">
        <f t="shared" si="54"/>
        <v>-1439.01615</v>
      </c>
    </row>
    <row r="178" spans="1:11" ht="12.75">
      <c r="A178" s="13" t="s">
        <v>83</v>
      </c>
      <c r="B178" s="15">
        <f>-'Summary Page'!$B$30</f>
        <v>-4300</v>
      </c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>
      <c r="A179" s="13" t="s">
        <v>86</v>
      </c>
      <c r="B179" s="15">
        <f>-'Summary Page'!$B$31</f>
        <v>-17000</v>
      </c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3" t="s">
        <v>85</v>
      </c>
      <c r="B180" s="15">
        <f>-'Summary Page'!$B$32</f>
        <v>-7500</v>
      </c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" hidden="1">
      <c r="A181" s="13" t="s">
        <v>93</v>
      </c>
      <c r="B181" s="113">
        <f>IF(B153&gt;=1000,1000*B154*B157,B153*B154*B157)</f>
        <v>0</v>
      </c>
      <c r="C181" s="113">
        <f>IF(($B181/$B157)-B181&gt;=0.1,((($B181/$B157)-$B181)/$B$7),0)</f>
        <v>0</v>
      </c>
      <c r="D181" s="113">
        <f>IF(($B181/$B157)-B181-C181&gt;=0.1,((($B181/$B157)-$B181)/$B$7),0)</f>
        <v>0</v>
      </c>
      <c r="E181" s="113">
        <f>IF(($B181/$B157)-B181-C181-D181&gt;=0.1,((($B181/$B157)-$B181)/$B$7),0)</f>
        <v>0</v>
      </c>
      <c r="F181" s="113">
        <f>IF(($B181/$B157)-B181-C181-D181-E181&gt;=0.1,((($B181/$B157)-$B181)/$B$7),0)</f>
        <v>0</v>
      </c>
      <c r="G181" s="113">
        <f>IF(($B181/$B157)-B181-C181-D181-E181-F181&gt;=0.1,((($B181/$B157)-$B181)/$B$7),0)</f>
        <v>0</v>
      </c>
      <c r="H181" s="113">
        <f>IF(($B181/$B157)-B181-C181-D181-E181-F181-G181&gt;=0.1,((($B181/$B157)-$B181)/$B$7),0)</f>
        <v>0</v>
      </c>
      <c r="I181" s="113">
        <f>IF(($B181/$B157)-B181-C181-D181-E181-F181-G181-H181&gt;=0.1,((($B181/$B157)-$B181)/$B$7),0)</f>
        <v>0</v>
      </c>
      <c r="J181" s="113">
        <f>IF(($B181/$B157)-B181-C181-D181-E181-F181-G181-H181-I181&gt;=0.1,((($B181/$B157)-$B181)/$B$7),0)</f>
        <v>0</v>
      </c>
      <c r="K181" s="113">
        <f>IF(($B181/$B157)-B181-C181-D181-E181-F181-G181-H181-I181-J181&gt;=0.1,((($B181/$B157)-$B181)/$B$7),0)</f>
        <v>0</v>
      </c>
    </row>
    <row r="182" spans="1:11" ht="12" hidden="1">
      <c r="A182" s="13" t="s">
        <v>94</v>
      </c>
      <c r="B182" s="113">
        <f>IF(AND(B153&gt;=0,B153&lt;=2000),(B153-1000)*B155*B157,1000*B155*B157)</f>
        <v>0</v>
      </c>
      <c r="C182" s="113">
        <f>IF(($B182/$B157)-B182&gt;=0.1,((($B182/$B157)-$B182)/$B$7),0)</f>
        <v>0</v>
      </c>
      <c r="D182" s="113">
        <f>IF(($B182/$B157)-B182-C182&gt;=0.1,((($B182/$B157)-$B182)/$B$7),0)</f>
        <v>0</v>
      </c>
      <c r="E182" s="113">
        <f>IF(($B182/$B157)-B182-C182-D182&gt;=0.1,((($B182/$B157)-$B182)/$B$7),0)</f>
        <v>0</v>
      </c>
      <c r="F182" s="113">
        <f>IF(($B182/$B157)-B182-C182-D182-E182&gt;=0.1,((($B182/$B157)-$B182)/$B$7),0)</f>
        <v>0</v>
      </c>
      <c r="G182" s="113">
        <f>IF(($B182/$B157)-B182-C182-D182-E182-F182&gt;=0.1,((($B182/$B157)-$B182)/$B$7),0)</f>
        <v>0</v>
      </c>
      <c r="H182" s="113">
        <f>IF(($B182/$B157)-B182-C182-D182-E182-F182-G182&gt;=0.1,((($B182/$B157)-$B182)/$B$7),0)</f>
        <v>0</v>
      </c>
      <c r="I182" s="113">
        <f>IF(($B182/$B157)-B182-C182-D182-E182-F182-G182-H182&gt;=0.1,((($B182/$B157)-$B182)/$B$7),0)</f>
        <v>0</v>
      </c>
      <c r="J182" s="113">
        <f>IF(($B182/$B157)-B182-C182-D182-E182-F182-G182-H182-I182&gt;=0.1,((($B182/$B157)-$B182)/$B$7),0)</f>
        <v>0</v>
      </c>
      <c r="K182" s="113">
        <f>IF(($B182/$B157)-B182-C182-D182-E182-F182-G182-H182-I182-J182&gt;=0.1,((($B182/$B157)-$B182)/$B$7),0)</f>
        <v>0</v>
      </c>
    </row>
    <row r="183" spans="1:11" ht="12" hidden="1">
      <c r="A183" s="13" t="s">
        <v>95</v>
      </c>
      <c r="B183" s="113">
        <f>IF(AND(B153&gt;=0,B153&lt;=3000),(B153-2000)*B156*B157,1000*B156*B157)</f>
        <v>0</v>
      </c>
      <c r="C183" s="113">
        <f>IF(($B183/$B157)-B183&gt;=0.1,((($B183/$B157)-$B183)/$B$7),0)</f>
        <v>0</v>
      </c>
      <c r="D183" s="113">
        <f>IF(($B183/$B157)-B183-C183&gt;=0.1,((($B183/$B157)-$B183)/$B$7),0)</f>
        <v>0</v>
      </c>
      <c r="E183" s="113">
        <f>IF(($B183/$B157)-B183-C183-D183&gt;=0.1,((($B183/$B157)-$B183)/$B$7),0)</f>
        <v>0</v>
      </c>
      <c r="F183" s="113">
        <f>IF(($B183/$B157)-B183-C183-D183-E183&gt;=0.1,((($B183/$B157)-$B183)/$B$7),0)</f>
        <v>0</v>
      </c>
      <c r="G183" s="113">
        <f>IF(($B183/$B157)-B183-C183-D183-E183-F183&gt;=0.1,((($B183/$B157)-$B183)/$B$7),0)</f>
        <v>0</v>
      </c>
      <c r="H183" s="113">
        <f>IF(($B183/$B157)-B183-C183-D183-E183-F183-G183&gt;=0.1,((($B183/$B157)-$B183)/$B$7),0)</f>
        <v>0</v>
      </c>
      <c r="I183" s="113">
        <f>IF(($B183/$B157)-B183-C183-D183-E183-F183-G183-H183&gt;=0.1,((($B183/$B157)-$B183)/$B$7),0)</f>
        <v>0</v>
      </c>
      <c r="J183" s="113">
        <f>IF(($B183/$B157)-B183-C183-D183-E183-F183-G183-H183-I183&gt;=0.1,((($B183/$B157)-$B183)/$B$7),0)</f>
        <v>0</v>
      </c>
      <c r="K183" s="113">
        <f>IF(($B183/$B157)-B183-C183-D183-E183-F183-G183-H183-I183-J183&gt;=0.1,((($B183/$B157)-$B183)/$B$7),0)</f>
        <v>0</v>
      </c>
    </row>
    <row r="184" spans="1:12" ht="12.75">
      <c r="A184" s="13" t="s">
        <v>96</v>
      </c>
      <c r="B184" s="12">
        <f aca="true" t="shared" si="55" ref="B184:K184">IF(B182&lt;=0,0,B182)+IF(B183&lt;=0,0,B183)+B181</f>
        <v>0</v>
      </c>
      <c r="C184" s="12">
        <f t="shared" si="55"/>
        <v>0</v>
      </c>
      <c r="D184" s="12">
        <f t="shared" si="55"/>
        <v>0</v>
      </c>
      <c r="E184" s="12">
        <f t="shared" si="55"/>
        <v>0</v>
      </c>
      <c r="F184" s="12">
        <f t="shared" si="55"/>
        <v>0</v>
      </c>
      <c r="G184" s="12">
        <f t="shared" si="55"/>
        <v>0</v>
      </c>
      <c r="H184" s="12">
        <f t="shared" si="55"/>
        <v>0</v>
      </c>
      <c r="I184" s="12">
        <f t="shared" si="55"/>
        <v>0</v>
      </c>
      <c r="J184" s="12">
        <f t="shared" si="55"/>
        <v>0</v>
      </c>
      <c r="K184" s="12">
        <f t="shared" si="55"/>
        <v>0</v>
      </c>
      <c r="L184" s="12"/>
    </row>
    <row r="185" spans="1:11" ht="12.75">
      <c r="A185" t="s">
        <v>36</v>
      </c>
      <c r="B185" s="12">
        <f aca="true" t="shared" si="56" ref="B185:K185">IF($B$12="yes",(B184*0.2),0)</f>
        <v>0</v>
      </c>
      <c r="C185" s="12">
        <f t="shared" si="56"/>
        <v>0</v>
      </c>
      <c r="D185" s="12">
        <f t="shared" si="56"/>
        <v>0</v>
      </c>
      <c r="E185" s="12">
        <f t="shared" si="56"/>
        <v>0</v>
      </c>
      <c r="F185" s="12">
        <f t="shared" si="56"/>
        <v>0</v>
      </c>
      <c r="G185" s="12">
        <f t="shared" si="56"/>
        <v>0</v>
      </c>
      <c r="H185" s="12">
        <f t="shared" si="56"/>
        <v>0</v>
      </c>
      <c r="I185" s="12">
        <f t="shared" si="56"/>
        <v>0</v>
      </c>
      <c r="J185" s="12">
        <f t="shared" si="56"/>
        <v>0</v>
      </c>
      <c r="K185" s="12">
        <f t="shared" si="56"/>
        <v>0</v>
      </c>
    </row>
    <row r="186" spans="1:4" ht="12.75" hidden="1">
      <c r="A186" t="s">
        <v>54</v>
      </c>
      <c r="B186" s="12">
        <f>((D152)-SUM(B184:K185))*D155</f>
        <v>1180859.4871714283</v>
      </c>
      <c r="C186" s="12"/>
      <c r="D186" s="12"/>
    </row>
    <row r="187" spans="1:4" ht="12.75" hidden="1">
      <c r="A187" t="s">
        <v>55</v>
      </c>
      <c r="B187" s="12">
        <f>IF(B152='Summary Page'!A11,'Summary Page'!F11*NG_Technologies!B153,((D152)-SUM(B184:K185))*D155)</f>
        <v>1200000</v>
      </c>
      <c r="C187" s="12"/>
      <c r="D187" s="12"/>
    </row>
    <row r="188" spans="1:4" ht="12.75">
      <c r="A188" t="s">
        <v>53</v>
      </c>
      <c r="B188" s="12">
        <f>MIN(B186:B187)</f>
        <v>1180859.4871714283</v>
      </c>
      <c r="C188" s="12"/>
      <c r="D188" s="12"/>
    </row>
    <row r="189" spans="1:13" ht="12.75">
      <c r="A189" t="s">
        <v>38</v>
      </c>
      <c r="B189" s="16">
        <f>-$D152+B169+B174+B175+B176+B177+B178+B179+B180+B184+B185+B188</f>
        <v>-2606259.9187499997</v>
      </c>
      <c r="C189" s="16">
        <f>C169+C174+C175+C176+C177+C184+C185+C188</f>
        <v>182633.38151784005</v>
      </c>
      <c r="D189" s="16">
        <f aca="true" t="shared" si="57" ref="D189:K189">D169+D174+D175+D176+D177+D184+D185+D188</f>
        <v>187404.50064058485</v>
      </c>
      <c r="E189" s="16">
        <f t="shared" si="57"/>
        <v>192192.70463447654</v>
      </c>
      <c r="F189" s="16">
        <f t="shared" si="57"/>
        <v>196998.45765221491</v>
      </c>
      <c r="G189" s="16">
        <f t="shared" si="57"/>
        <v>201822.22542798676</v>
      </c>
      <c r="H189" s="16">
        <f t="shared" si="57"/>
        <v>206664.47532263596</v>
      </c>
      <c r="I189" s="16">
        <f t="shared" si="57"/>
        <v>211525.67636898084</v>
      </c>
      <c r="J189" s="16">
        <f t="shared" si="57"/>
        <v>216406.2993172809</v>
      </c>
      <c r="K189" s="16">
        <f t="shared" si="57"/>
        <v>221306.8166808581</v>
      </c>
      <c r="M189" s="16"/>
    </row>
    <row r="190" spans="1:11" ht="12.75">
      <c r="A190" t="s">
        <v>39</v>
      </c>
      <c r="B190" s="16">
        <f>B189</f>
        <v>-2606259.9187499997</v>
      </c>
      <c r="C190" s="16">
        <f aca="true" t="shared" si="58" ref="C190:K190">B190+C189</f>
        <v>-2423626.5372321596</v>
      </c>
      <c r="D190" s="16">
        <f t="shared" si="58"/>
        <v>-2236222.0365915745</v>
      </c>
      <c r="E190" s="16">
        <f t="shared" si="58"/>
        <v>-2044029.331957098</v>
      </c>
      <c r="F190" s="16">
        <f t="shared" si="58"/>
        <v>-1847030.8743048832</v>
      </c>
      <c r="G190" s="16">
        <f t="shared" si="58"/>
        <v>-1645208.6488768964</v>
      </c>
      <c r="H190" s="16">
        <f t="shared" si="58"/>
        <v>-1438544.1735542603</v>
      </c>
      <c r="I190" s="16">
        <f t="shared" si="58"/>
        <v>-1227018.4971852794</v>
      </c>
      <c r="J190" s="16">
        <f t="shared" si="58"/>
        <v>-1010612.1978679985</v>
      </c>
      <c r="K190" s="16">
        <f t="shared" si="58"/>
        <v>-789305.3811871405</v>
      </c>
    </row>
    <row r="191" spans="2:11" ht="12.75">
      <c r="B191" s="17"/>
      <c r="C191" s="17"/>
      <c r="D191" s="18"/>
      <c r="E191" s="18"/>
      <c r="F191" s="18"/>
      <c r="G191" s="19"/>
      <c r="H191" s="19"/>
      <c r="I191" s="17"/>
      <c r="J191" s="17"/>
      <c r="K191" s="17"/>
    </row>
    <row r="192" spans="1:11" ht="12.75">
      <c r="A192" s="20" t="s">
        <v>40</v>
      </c>
      <c r="B192" s="21">
        <f>(NPV($B$8,C189:K189))+$B$189</f>
        <v>-1182442.3494983462</v>
      </c>
      <c r="C192" s="18"/>
      <c r="E192" s="18"/>
      <c r="F192" s="18"/>
      <c r="G192" s="19"/>
      <c r="H192" s="19"/>
      <c r="I192" s="17"/>
      <c r="J192" s="17"/>
      <c r="K192" s="17"/>
    </row>
    <row r="193" spans="1:11" ht="12.75">
      <c r="A193" s="22" t="s">
        <v>41</v>
      </c>
      <c r="B193" s="23">
        <f>IRR(B189:K189)</f>
        <v>-0.06484815269033362</v>
      </c>
      <c r="C193" s="18"/>
      <c r="D193" s="18"/>
      <c r="E193" s="18"/>
      <c r="F193" s="24"/>
      <c r="G193" s="19"/>
      <c r="H193" s="19"/>
      <c r="I193" s="17"/>
      <c r="J193" s="17"/>
      <c r="K193" s="17"/>
    </row>
    <row r="194" spans="1:11" ht="12.75">
      <c r="A194" s="25" t="s">
        <v>42</v>
      </c>
      <c r="B194" s="26" t="e">
        <f>COUNTIF(B190:K190,"&lt;0")+1-INDEX(B190:K190,COUNTIF(B190:K190,"&lt;0")+1)/INDEX(B189:K189,COUNTIF(B190:K190,"&lt;0")+1)</f>
        <v>#REF!</v>
      </c>
      <c r="C194" s="18"/>
      <c r="E194" s="18"/>
      <c r="F194" s="18"/>
      <c r="G194" s="19"/>
      <c r="H194" s="19"/>
      <c r="I194" s="17"/>
      <c r="J194" s="17"/>
      <c r="K194" s="17"/>
    </row>
    <row r="195" spans="1:11" ht="12.75">
      <c r="A195" s="27"/>
      <c r="B195" s="28"/>
      <c r="C195" s="18"/>
      <c r="E195" s="18"/>
      <c r="F195" s="18"/>
      <c r="G195" s="19"/>
      <c r="H195" s="19"/>
      <c r="I195" s="17"/>
      <c r="J195" s="17"/>
      <c r="K195" s="17"/>
    </row>
    <row r="196" ht="12.75">
      <c r="A196" s="7"/>
    </row>
    <row r="197" spans="1:7" ht="12.75">
      <c r="A197" s="29" t="s">
        <v>43</v>
      </c>
      <c r="F197" s="11"/>
      <c r="G197" s="11"/>
    </row>
    <row r="198" spans="1:12" ht="12.75">
      <c r="A198" s="20" t="s">
        <v>26</v>
      </c>
      <c r="B198" s="30">
        <v>2010</v>
      </c>
      <c r="C198" s="30">
        <v>2011</v>
      </c>
      <c r="D198" s="30">
        <v>2012</v>
      </c>
      <c r="E198" s="30">
        <v>2013</v>
      </c>
      <c r="F198" s="30">
        <v>2014</v>
      </c>
      <c r="G198" s="30">
        <v>2015</v>
      </c>
      <c r="H198" s="30">
        <v>2016</v>
      </c>
      <c r="I198" s="30">
        <v>2017</v>
      </c>
      <c r="J198" s="30">
        <v>2018</v>
      </c>
      <c r="K198" s="30">
        <v>2019</v>
      </c>
      <c r="L198" s="31">
        <v>2020</v>
      </c>
    </row>
    <row r="199" spans="1:12" ht="12.75">
      <c r="A199" s="2" t="s">
        <v>44</v>
      </c>
      <c r="B199" s="32">
        <v>6.2</v>
      </c>
      <c r="C199" s="32">
        <v>7.04</v>
      </c>
      <c r="D199" s="32">
        <v>7.24</v>
      </c>
      <c r="E199" s="32">
        <v>7.36</v>
      </c>
      <c r="F199" s="32">
        <v>7.5</v>
      </c>
      <c r="G199" s="32">
        <v>7.66</v>
      </c>
      <c r="H199" s="32">
        <v>7.81</v>
      </c>
      <c r="I199" s="32">
        <v>7.97</v>
      </c>
      <c r="J199" s="32">
        <v>8.13</v>
      </c>
      <c r="K199" s="32">
        <v>8.29</v>
      </c>
      <c r="L199" s="33">
        <v>8.45</v>
      </c>
    </row>
    <row r="200" spans="1:12" ht="12.75">
      <c r="A200" s="6" t="s">
        <v>45</v>
      </c>
      <c r="B200" s="34">
        <f>$D158</f>
        <v>0.117969</v>
      </c>
      <c r="C200" s="34">
        <f aca="true" t="shared" si="59" ref="C200:K200">($D158)*(1+$B161)^B166</f>
        <v>0.12032838000000001</v>
      </c>
      <c r="D200" s="34">
        <f t="shared" si="59"/>
        <v>0.1227349476</v>
      </c>
      <c r="E200" s="34">
        <f t="shared" si="59"/>
        <v>0.125189646552</v>
      </c>
      <c r="F200" s="34">
        <f t="shared" si="59"/>
        <v>0.12769343948304</v>
      </c>
      <c r="G200" s="34">
        <f t="shared" si="59"/>
        <v>0.1302473082727008</v>
      </c>
      <c r="H200" s="34">
        <f t="shared" si="59"/>
        <v>0.13285225443815482</v>
      </c>
      <c r="I200" s="34">
        <f t="shared" si="59"/>
        <v>0.1355092995269179</v>
      </c>
      <c r="J200" s="34">
        <f t="shared" si="59"/>
        <v>0.13821948551745628</v>
      </c>
      <c r="K200" s="34">
        <f t="shared" si="59"/>
        <v>0.1409838752278054</v>
      </c>
      <c r="L200" s="107">
        <f>K200*(1+$B$10)</f>
        <v>0.1438035527323615</v>
      </c>
    </row>
    <row r="201" spans="1:12" ht="12.75">
      <c r="A201" s="92"/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34"/>
    </row>
    <row r="202" spans="1:12" ht="12.75">
      <c r="A202" s="92"/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34"/>
    </row>
    <row r="203" spans="1:13" ht="12.75">
      <c r="A203" s="38" t="s">
        <v>0</v>
      </c>
      <c r="B203" s="81" t="str">
        <f>'Summary Page'!A9</f>
        <v>Fuel Cell - Electric Only (Biogas)</v>
      </c>
      <c r="C203" s="38" t="s">
        <v>1</v>
      </c>
      <c r="D203" s="41">
        <f>(D204*B204)-B229-B230-B231</f>
        <v>1222601</v>
      </c>
      <c r="E203" s="1"/>
      <c r="L203" s="3"/>
      <c r="M203" s="3"/>
    </row>
    <row r="204" spans="1:13" ht="12.75">
      <c r="A204" s="38" t="s">
        <v>3</v>
      </c>
      <c r="B204" s="42">
        <f>VLOOKUP(B203,'Summary Page'!$A$7:$K$19,2,0)</f>
        <v>100</v>
      </c>
      <c r="C204" s="38" t="s">
        <v>4</v>
      </c>
      <c r="D204" s="41">
        <f>VLOOKUP(B203,'Summary Page'!$A$7:$K$19,3,0)</f>
        <v>12108.01</v>
      </c>
      <c r="E204" s="1"/>
      <c r="J204" s="3"/>
      <c r="L204" s="3"/>
      <c r="M204" s="3"/>
    </row>
    <row r="205" spans="1:13" ht="12.75">
      <c r="A205" s="38" t="s">
        <v>90</v>
      </c>
      <c r="B205" s="41">
        <f>VLOOKUP(B203,'Summary Page'!$A$7:$K$19,11,0)</f>
        <v>0</v>
      </c>
      <c r="C205" s="82" t="s">
        <v>6</v>
      </c>
      <c r="D205" s="83">
        <f>VLOOKUP(B203,'Summary Page'!$A$7:$K$19,4,0)</f>
        <v>0.04</v>
      </c>
      <c r="E205" s="1"/>
      <c r="J205" s="3"/>
      <c r="L205" s="3"/>
      <c r="M205" s="3"/>
    </row>
    <row r="206" spans="1:13" ht="12.75">
      <c r="A206" s="38" t="s">
        <v>91</v>
      </c>
      <c r="B206" s="41">
        <f>(VLOOKUP(B203,'Summary Page'!$A$7:$K$19,11,0))*'Summary Page'!$B$39</f>
        <v>0</v>
      </c>
      <c r="C206" s="85" t="s">
        <v>8</v>
      </c>
      <c r="D206" s="86">
        <f>VLOOKUP(B203,'Summary Page'!$A$7:$K$19,5,0)</f>
        <v>0.3</v>
      </c>
      <c r="E206" s="5"/>
      <c r="J206" s="3"/>
      <c r="L206" s="3"/>
      <c r="M206" s="3"/>
    </row>
    <row r="207" spans="1:13" ht="12.75">
      <c r="A207" s="38" t="s">
        <v>92</v>
      </c>
      <c r="B207" s="41">
        <f>(VLOOKUP(B203,'Summary Page'!$A$7:$K$19,11,0))*'Summary Page'!$B$40</f>
        <v>0</v>
      </c>
      <c r="C207" s="85" t="s">
        <v>10</v>
      </c>
      <c r="D207" s="86">
        <f>VLOOKUP(B203,'Summary Page'!$A$7:$K$19,8,0)</f>
        <v>0.46</v>
      </c>
      <c r="E207" s="5"/>
      <c r="J207" s="3"/>
      <c r="L207" s="3"/>
      <c r="M207" s="3"/>
    </row>
    <row r="208" spans="1:13" ht="12.75">
      <c r="A208" s="39" t="s">
        <v>7</v>
      </c>
      <c r="B208" s="84">
        <f>'Summary Page'!$B$23</f>
        <v>0.25</v>
      </c>
      <c r="C208" s="85" t="s">
        <v>13</v>
      </c>
      <c r="D208" s="86">
        <f>VLOOKUP(B203,'Summary Page'!$A$7:$K$19,9,0)</f>
        <v>0.46</v>
      </c>
      <c r="J208" s="3"/>
      <c r="L208" s="3"/>
      <c r="M208" s="3"/>
    </row>
    <row r="209" spans="1:13" ht="12.75">
      <c r="A209" s="39" t="s">
        <v>9</v>
      </c>
      <c r="B209" s="87">
        <f>'Summary Page'!$B$24</f>
        <v>5</v>
      </c>
      <c r="C209" s="40" t="s">
        <v>15</v>
      </c>
      <c r="D209" s="88">
        <f>'Summary Page'!$B$27</f>
        <v>0.117969</v>
      </c>
      <c r="J209" s="3"/>
      <c r="L209" s="3"/>
      <c r="M209" s="3"/>
    </row>
    <row r="210" spans="1:13" ht="12.75">
      <c r="A210" s="38" t="s">
        <v>12</v>
      </c>
      <c r="B210" s="43">
        <f>'Summary Page'!$B$26</f>
        <v>0.05</v>
      </c>
      <c r="C210" s="38" t="s">
        <v>17</v>
      </c>
      <c r="D210" s="41">
        <f>'Summary Page'!$B$29</f>
        <v>1439.01615</v>
      </c>
      <c r="J210" s="3"/>
      <c r="L210" s="3"/>
      <c r="M210" s="3"/>
    </row>
    <row r="211" spans="1:13" ht="12.75">
      <c r="A211" s="38" t="s">
        <v>14</v>
      </c>
      <c r="B211" s="43">
        <f>'Summary Page'!$B$35</f>
        <v>0.01</v>
      </c>
      <c r="C211" s="38" t="s">
        <v>19</v>
      </c>
      <c r="D211" s="42">
        <f>'Summary Page'!$B$34</f>
        <v>8760</v>
      </c>
      <c r="J211" s="3"/>
      <c r="L211" s="3"/>
      <c r="M211" s="3"/>
    </row>
    <row r="212" spans="1:13" ht="12.75">
      <c r="A212" s="39" t="s">
        <v>16</v>
      </c>
      <c r="B212" s="43">
        <f>'Summary Page'!$B$28</f>
        <v>0.02</v>
      </c>
      <c r="C212" s="38" t="s">
        <v>20</v>
      </c>
      <c r="D212" s="90">
        <f>'Summary Page'!$B$33</f>
        <v>6.2</v>
      </c>
      <c r="J212" s="3"/>
      <c r="L212" s="3"/>
      <c r="M212" s="3"/>
    </row>
    <row r="213" spans="1:13" ht="12.75">
      <c r="A213" s="39" t="s">
        <v>18</v>
      </c>
      <c r="B213" s="43">
        <f>VLOOKUP(B203,'Summary Page'!$A$7:$K$19,10,0)</f>
        <v>0.8</v>
      </c>
      <c r="C213" s="38" t="s">
        <v>77</v>
      </c>
      <c r="D213" s="84">
        <f>'Summary Page'!$B$36</f>
        <v>0.8</v>
      </c>
      <c r="J213" s="3"/>
      <c r="L213" s="3"/>
      <c r="M213" s="3"/>
    </row>
    <row r="214" spans="1:13" ht="12.75">
      <c r="A214" s="39" t="s">
        <v>22</v>
      </c>
      <c r="B214" s="89" t="str">
        <f>'Summary Page'!$B$25</f>
        <v>Yes</v>
      </c>
      <c r="C214" s="39" t="s">
        <v>24</v>
      </c>
      <c r="D214" s="91">
        <f>D215/D207</f>
        <v>7417.697826086956</v>
      </c>
      <c r="L214" s="3"/>
      <c r="M214" s="3"/>
    </row>
    <row r="215" spans="3:13" ht="12.75">
      <c r="C215" s="39" t="s">
        <v>25</v>
      </c>
      <c r="D215" s="91">
        <f>'Summary Page'!$B$37</f>
        <v>3412.141</v>
      </c>
      <c r="L215" s="3"/>
      <c r="M215" s="3"/>
    </row>
    <row r="216" spans="5:13" ht="12.75">
      <c r="E216" s="9"/>
      <c r="F216" s="9"/>
      <c r="G216" s="9"/>
      <c r="L216" s="3"/>
      <c r="M216" s="3"/>
    </row>
    <row r="217" spans="1:11" ht="12.75">
      <c r="A217" s="10" t="s">
        <v>26</v>
      </c>
      <c r="B217" s="10">
        <v>1</v>
      </c>
      <c r="C217" s="10">
        <v>2</v>
      </c>
      <c r="D217" s="10">
        <v>3</v>
      </c>
      <c r="E217" s="10">
        <v>4</v>
      </c>
      <c r="F217" s="10">
        <v>5</v>
      </c>
      <c r="G217" s="10">
        <v>6</v>
      </c>
      <c r="H217" s="10">
        <v>7</v>
      </c>
      <c r="I217" s="10">
        <v>8</v>
      </c>
      <c r="J217" s="10">
        <v>9</v>
      </c>
      <c r="K217" s="10">
        <v>10</v>
      </c>
    </row>
    <row r="219" spans="1:11" ht="12.75">
      <c r="A219" t="s">
        <v>27</v>
      </c>
      <c r="B219" s="11">
        <f>($B204*$B213*$D211)</f>
        <v>700800</v>
      </c>
      <c r="C219" s="11">
        <f aca="true" t="shared" si="60" ref="C219:K219">B219*(1-$B$211)</f>
        <v>693792</v>
      </c>
      <c r="D219" s="11">
        <f t="shared" si="60"/>
        <v>686854.08</v>
      </c>
      <c r="E219" s="11">
        <f t="shared" si="60"/>
        <v>679985.5392</v>
      </c>
      <c r="F219" s="11">
        <f t="shared" si="60"/>
        <v>673185.683808</v>
      </c>
      <c r="G219" s="11">
        <f t="shared" si="60"/>
        <v>666453.82696992</v>
      </c>
      <c r="H219" s="11">
        <f t="shared" si="60"/>
        <v>659789.2887002208</v>
      </c>
      <c r="I219" s="11">
        <f t="shared" si="60"/>
        <v>653191.3958132186</v>
      </c>
      <c r="J219" s="11">
        <f t="shared" si="60"/>
        <v>646659.4818550864</v>
      </c>
      <c r="K219" s="11">
        <f t="shared" si="60"/>
        <v>640192.8870365355</v>
      </c>
    </row>
    <row r="220" spans="1:11" ht="12.75">
      <c r="A220" t="s">
        <v>28</v>
      </c>
      <c r="B220" s="12">
        <f aca="true" t="shared" si="61" ref="B220:K220">B219*B251</f>
        <v>82672.6752</v>
      </c>
      <c r="C220" s="12">
        <f t="shared" si="61"/>
        <v>83482.86741696001</v>
      </c>
      <c r="D220" s="12">
        <f t="shared" si="61"/>
        <v>84300.99951764621</v>
      </c>
      <c r="E220" s="12">
        <f t="shared" si="61"/>
        <v>85127.14931291914</v>
      </c>
      <c r="F220" s="12">
        <f t="shared" si="61"/>
        <v>85961.39537618573</v>
      </c>
      <c r="G220" s="12">
        <f t="shared" si="61"/>
        <v>86803.81705087237</v>
      </c>
      <c r="H220" s="12">
        <f t="shared" si="61"/>
        <v>87654.49445797091</v>
      </c>
      <c r="I220" s="12">
        <f t="shared" si="61"/>
        <v>88513.50850365902</v>
      </c>
      <c r="J220" s="12">
        <f t="shared" si="61"/>
        <v>89380.9408869949</v>
      </c>
      <c r="K220" s="12">
        <f t="shared" si="61"/>
        <v>90256.87410768744</v>
      </c>
    </row>
    <row r="221" spans="1:11" ht="12.75">
      <c r="A221" t="s">
        <v>29</v>
      </c>
      <c r="B221" s="11">
        <f>(D214*B219)/1000000</f>
        <v>5198.322636521739</v>
      </c>
      <c r="C221" s="11">
        <f>B221</f>
        <v>5198.322636521739</v>
      </c>
      <c r="D221" s="11">
        <f aca="true" t="shared" si="62" ref="D221:K221">C221</f>
        <v>5198.322636521739</v>
      </c>
      <c r="E221" s="11">
        <f t="shared" si="62"/>
        <v>5198.322636521739</v>
      </c>
      <c r="F221" s="11">
        <f t="shared" si="62"/>
        <v>5198.322636521739</v>
      </c>
      <c r="G221" s="11">
        <f t="shared" si="62"/>
        <v>5198.322636521739</v>
      </c>
      <c r="H221" s="11">
        <f t="shared" si="62"/>
        <v>5198.322636521739</v>
      </c>
      <c r="I221" s="11">
        <f t="shared" si="62"/>
        <v>5198.322636521739</v>
      </c>
      <c r="J221" s="11">
        <f t="shared" si="62"/>
        <v>5198.322636521739</v>
      </c>
      <c r="K221" s="11">
        <f t="shared" si="62"/>
        <v>5198.322636521739</v>
      </c>
    </row>
    <row r="222" spans="1:11" ht="12.75">
      <c r="A222" s="13" t="s">
        <v>30</v>
      </c>
      <c r="B222" s="11">
        <f>(B221*$D208)-(B219/1000)*$D215/1000</f>
        <v>0</v>
      </c>
      <c r="C222" s="11">
        <f aca="true" t="shared" si="63" ref="C222:K222">(B222)*(1-$B$9)</f>
        <v>0</v>
      </c>
      <c r="D222" s="11">
        <f t="shared" si="63"/>
        <v>0</v>
      </c>
      <c r="E222" s="11">
        <f t="shared" si="63"/>
        <v>0</v>
      </c>
      <c r="F222" s="11">
        <f t="shared" si="63"/>
        <v>0</v>
      </c>
      <c r="G222" s="11">
        <f t="shared" si="63"/>
        <v>0</v>
      </c>
      <c r="H222" s="11">
        <f t="shared" si="63"/>
        <v>0</v>
      </c>
      <c r="I222" s="11">
        <f t="shared" si="63"/>
        <v>0</v>
      </c>
      <c r="J222" s="11">
        <f t="shared" si="63"/>
        <v>0</v>
      </c>
      <c r="K222" s="11">
        <f t="shared" si="63"/>
        <v>0</v>
      </c>
    </row>
    <row r="223" spans="1:11" ht="12.75">
      <c r="A223" t="s">
        <v>31</v>
      </c>
      <c r="B223" s="14">
        <f>B222/(B221-(B219/1000)*$D215/1000)</f>
        <v>0</v>
      </c>
      <c r="C223" s="14">
        <f aca="true" t="shared" si="64" ref="C223:K223">B223*(1-$B211)</f>
        <v>0</v>
      </c>
      <c r="D223" s="14">
        <f t="shared" si="64"/>
        <v>0</v>
      </c>
      <c r="E223" s="14">
        <f t="shared" si="64"/>
        <v>0</v>
      </c>
      <c r="F223" s="14">
        <f t="shared" si="64"/>
        <v>0</v>
      </c>
      <c r="G223" s="14">
        <f t="shared" si="64"/>
        <v>0</v>
      </c>
      <c r="H223" s="14">
        <f t="shared" si="64"/>
        <v>0</v>
      </c>
      <c r="I223" s="14">
        <f t="shared" si="64"/>
        <v>0</v>
      </c>
      <c r="J223" s="14">
        <f t="shared" si="64"/>
        <v>0</v>
      </c>
      <c r="K223" s="14">
        <f t="shared" si="64"/>
        <v>0</v>
      </c>
    </row>
    <row r="224" spans="1:11" ht="12.75">
      <c r="A224" t="s">
        <v>32</v>
      </c>
      <c r="B224" s="11">
        <f>B222/$D213</f>
        <v>0</v>
      </c>
      <c r="C224" s="11">
        <f aca="true" t="shared" si="65" ref="C224:K224">C222/$D213</f>
        <v>0</v>
      </c>
      <c r="D224" s="11">
        <f t="shared" si="65"/>
        <v>0</v>
      </c>
      <c r="E224" s="11">
        <f t="shared" si="65"/>
        <v>0</v>
      </c>
      <c r="F224" s="11">
        <f t="shared" si="65"/>
        <v>0</v>
      </c>
      <c r="G224" s="11">
        <f t="shared" si="65"/>
        <v>0</v>
      </c>
      <c r="H224" s="11">
        <f t="shared" si="65"/>
        <v>0</v>
      </c>
      <c r="I224" s="11">
        <f t="shared" si="65"/>
        <v>0</v>
      </c>
      <c r="J224" s="11">
        <f t="shared" si="65"/>
        <v>0</v>
      </c>
      <c r="K224" s="11">
        <f t="shared" si="65"/>
        <v>0</v>
      </c>
    </row>
    <row r="225" spans="1:11" ht="12.75">
      <c r="A225" t="s">
        <v>33</v>
      </c>
      <c r="B225" s="12">
        <f aca="true" t="shared" si="66" ref="B225:K225">B224*B250</f>
        <v>0</v>
      </c>
      <c r="C225" s="12">
        <f t="shared" si="66"/>
        <v>0</v>
      </c>
      <c r="D225" s="12">
        <f t="shared" si="66"/>
        <v>0</v>
      </c>
      <c r="E225" s="12">
        <f t="shared" si="66"/>
        <v>0</v>
      </c>
      <c r="F225" s="12">
        <f t="shared" si="66"/>
        <v>0</v>
      </c>
      <c r="G225" s="12">
        <f t="shared" si="66"/>
        <v>0</v>
      </c>
      <c r="H225" s="12">
        <f t="shared" si="66"/>
        <v>0</v>
      </c>
      <c r="I225" s="12">
        <f t="shared" si="66"/>
        <v>0</v>
      </c>
      <c r="J225" s="12">
        <f t="shared" si="66"/>
        <v>0</v>
      </c>
      <c r="K225" s="12">
        <f t="shared" si="66"/>
        <v>0</v>
      </c>
    </row>
    <row r="226" spans="1:11" ht="12.75">
      <c r="A226" t="s">
        <v>34</v>
      </c>
      <c r="B226" s="15">
        <f aca="true" t="shared" si="67" ref="B226:K226">IF($B$203="Fuel Cell - Electric Only (Biogas)",0,-B221*B250)</f>
        <v>0</v>
      </c>
      <c r="C226" s="15">
        <f t="shared" si="67"/>
        <v>0</v>
      </c>
      <c r="D226" s="15">
        <f t="shared" si="67"/>
        <v>0</v>
      </c>
      <c r="E226" s="15">
        <f t="shared" si="67"/>
        <v>0</v>
      </c>
      <c r="F226" s="15">
        <f t="shared" si="67"/>
        <v>0</v>
      </c>
      <c r="G226" s="15">
        <f t="shared" si="67"/>
        <v>0</v>
      </c>
      <c r="H226" s="15">
        <f t="shared" si="67"/>
        <v>0</v>
      </c>
      <c r="I226" s="15">
        <f t="shared" si="67"/>
        <v>0</v>
      </c>
      <c r="J226" s="15">
        <f t="shared" si="67"/>
        <v>0</v>
      </c>
      <c r="K226" s="15">
        <f t="shared" si="67"/>
        <v>0</v>
      </c>
    </row>
    <row r="227" spans="1:11" ht="12.75">
      <c r="A227" t="s">
        <v>35</v>
      </c>
      <c r="B227" s="15">
        <f>B219*(-$D205)</f>
        <v>-28032</v>
      </c>
      <c r="C227" s="15">
        <f aca="true" t="shared" si="68" ref="C227:K227">C219*(-$D205)</f>
        <v>-27751.68</v>
      </c>
      <c r="D227" s="15">
        <f t="shared" si="68"/>
        <v>-27474.1632</v>
      </c>
      <c r="E227" s="15">
        <f t="shared" si="68"/>
        <v>-27199.421568</v>
      </c>
      <c r="F227" s="15">
        <f t="shared" si="68"/>
        <v>-26927.42735232</v>
      </c>
      <c r="G227" s="15">
        <f t="shared" si="68"/>
        <v>-26658.1530787968</v>
      </c>
      <c r="H227" s="15">
        <f t="shared" si="68"/>
        <v>-26391.57154800883</v>
      </c>
      <c r="I227" s="15">
        <f t="shared" si="68"/>
        <v>-26127.655832528744</v>
      </c>
      <c r="J227" s="15">
        <f t="shared" si="68"/>
        <v>-25866.379274203457</v>
      </c>
      <c r="K227" s="15">
        <f t="shared" si="68"/>
        <v>-25607.715481461422</v>
      </c>
    </row>
    <row r="228" spans="1:11" ht="12.75">
      <c r="A228" s="13" t="s">
        <v>78</v>
      </c>
      <c r="B228" s="15">
        <f>-$D210</f>
        <v>-1439.01615</v>
      </c>
      <c r="C228" s="15">
        <f aca="true" t="shared" si="69" ref="C228:K228">-$D210</f>
        <v>-1439.01615</v>
      </c>
      <c r="D228" s="15">
        <f t="shared" si="69"/>
        <v>-1439.01615</v>
      </c>
      <c r="E228" s="15">
        <f t="shared" si="69"/>
        <v>-1439.01615</v>
      </c>
      <c r="F228" s="15">
        <f t="shared" si="69"/>
        <v>-1439.01615</v>
      </c>
      <c r="G228" s="15">
        <f t="shared" si="69"/>
        <v>-1439.01615</v>
      </c>
      <c r="H228" s="15">
        <f t="shared" si="69"/>
        <v>-1439.01615</v>
      </c>
      <c r="I228" s="15">
        <f t="shared" si="69"/>
        <v>-1439.01615</v>
      </c>
      <c r="J228" s="15">
        <f t="shared" si="69"/>
        <v>-1439.01615</v>
      </c>
      <c r="K228" s="15">
        <f t="shared" si="69"/>
        <v>-1439.01615</v>
      </c>
    </row>
    <row r="229" spans="1:11" ht="12.75">
      <c r="A229" s="13" t="s">
        <v>83</v>
      </c>
      <c r="B229" s="15">
        <f>-'Summary Page'!$B$30</f>
        <v>-4300</v>
      </c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2.75">
      <c r="A230" s="13" t="s">
        <v>86</v>
      </c>
      <c r="B230" s="15">
        <v>0</v>
      </c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s="13" t="s">
        <v>85</v>
      </c>
      <c r="B231" s="15">
        <f>-'Summary Page'!$B$32</f>
        <v>-7500</v>
      </c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" hidden="1">
      <c r="A232" s="13" t="s">
        <v>93</v>
      </c>
      <c r="B232" s="113">
        <f>IF(B204&gt;=1000,1000*B205*B208,B204*B205*B208)</f>
        <v>0</v>
      </c>
      <c r="C232" s="113">
        <f>IF(($B232/$B208)-B232&gt;=0.1,((($B232/$B208)-$B232)/$B$7),0)</f>
        <v>0</v>
      </c>
      <c r="D232" s="113">
        <f>IF(($B232/$B208)-B232-C232&gt;=0.1,((($B232/$B208)-$B232)/$B$7),0)</f>
        <v>0</v>
      </c>
      <c r="E232" s="113">
        <f>IF(($B232/$B208)-B232-C232-D232&gt;=0.1,((($B232/$B208)-$B232)/$B$7),0)</f>
        <v>0</v>
      </c>
      <c r="F232" s="113">
        <f>IF(($B232/$B208)-B232-C232-D232-E232&gt;=0.1,((($B232/$B208)-$B232)/$B$7),0)</f>
        <v>0</v>
      </c>
      <c r="G232" s="113">
        <f>IF(($B232/$B208)-B232-C232-D232-E232-F232&gt;=0.1,((($B232/$B208)-$B232)/$B$7),0)</f>
        <v>0</v>
      </c>
      <c r="H232" s="113">
        <f>IF(($B232/$B208)-B232-C232-D232-E232-F232-G232&gt;=0.1,((($B232/$B208)-$B232)/$B$7),0)</f>
        <v>0</v>
      </c>
      <c r="I232" s="113">
        <f>IF(($B232/$B208)-B232-C232-D232-E232-F232-G232-H232&gt;=0.1,((($B232/$B208)-$B232)/$B$7),0)</f>
        <v>0</v>
      </c>
      <c r="J232" s="113">
        <f>IF(($B232/$B208)-B232-C232-D232-E232-F232-G232-H232-I232&gt;=0.1,((($B232/$B208)-$B232)/$B$7),0)</f>
        <v>0</v>
      </c>
      <c r="K232" s="113">
        <f>IF(($B232/$B208)-B232-C232-D232-E232-F232-G232-H232-I232-J232&gt;=0.1,((($B232/$B208)-$B232)/$B$7),0)</f>
        <v>0</v>
      </c>
    </row>
    <row r="233" spans="1:11" ht="12" hidden="1">
      <c r="A233" s="13" t="s">
        <v>94</v>
      </c>
      <c r="B233" s="113">
        <f>IF(AND(B204&gt;=0,B204&lt;=2000),(B204-1000)*B206*B208,1000*B206*B208)</f>
        <v>0</v>
      </c>
      <c r="C233" s="113">
        <f>IF(($B233/$B208)-B233&gt;=0.1,((($B233/$B208)-$B233)/$B$7),0)</f>
        <v>0</v>
      </c>
      <c r="D233" s="113">
        <f>IF(($B233/$B208)-B233-C233&gt;=0.1,((($B233/$B208)-$B233)/$B$7),0)</f>
        <v>0</v>
      </c>
      <c r="E233" s="113">
        <f>IF(($B233/$B208)-B233-C233-D233&gt;=0.1,((($B233/$B208)-$B233)/$B$7),0)</f>
        <v>0</v>
      </c>
      <c r="F233" s="113">
        <f>IF(($B233/$B208)-B233-C233-D233-E233&gt;=0.1,((($B233/$B208)-$B233)/$B$7),0)</f>
        <v>0</v>
      </c>
      <c r="G233" s="113">
        <f>IF(($B233/$B208)-B233-C233-D233-E233-F233&gt;=0.1,((($B233/$B208)-$B233)/$B$7),0)</f>
        <v>0</v>
      </c>
      <c r="H233" s="113">
        <f>IF(($B233/$B208)-B233-C233-D233-E233-F233-G233&gt;=0.1,((($B233/$B208)-$B233)/$B$7),0)</f>
        <v>0</v>
      </c>
      <c r="I233" s="113">
        <f>IF(($B233/$B208)-B233-C233-D233-E233-F233-G233-H233&gt;=0.1,((($B233/$B208)-$B233)/$B$7),0)</f>
        <v>0</v>
      </c>
      <c r="J233" s="113">
        <f>IF(($B233/$B208)-B233-C233-D233-E233-F233-G233-H233-I233&gt;=0.1,((($B233/$B208)-$B233)/$B$7),0)</f>
        <v>0</v>
      </c>
      <c r="K233" s="113">
        <f>IF(($B233/$B208)-B233-C233-D233-E233-F233-G233-H233-I233-J233&gt;=0.1,((($B233/$B208)-$B233)/$B$7),0)</f>
        <v>0</v>
      </c>
    </row>
    <row r="234" spans="1:11" ht="12" hidden="1">
      <c r="A234" s="13" t="s">
        <v>95</v>
      </c>
      <c r="B234" s="113">
        <f>IF(AND(B204&gt;=0,B204&lt;=3000),(B204-2000)*B207*B208,1000*B207*B208)</f>
        <v>0</v>
      </c>
      <c r="C234" s="113">
        <f>IF(($B234/$B208)-B234&gt;=0.1,((($B234/$B208)-$B234)/$B$7),0)</f>
        <v>0</v>
      </c>
      <c r="D234" s="113">
        <f>IF(($B234/$B208)-B234-C234&gt;=0.1,((($B234/$B208)-$B234)/$B$7),0)</f>
        <v>0</v>
      </c>
      <c r="E234" s="113">
        <f>IF(($B234/$B208)-B234-C234-D234&gt;=0.1,((($B234/$B208)-$B234)/$B$7),0)</f>
        <v>0</v>
      </c>
      <c r="F234" s="113">
        <f>IF(($B234/$B208)-B234-C234-D234-E234&gt;=0.1,((($B234/$B208)-$B234)/$B$7),0)</f>
        <v>0</v>
      </c>
      <c r="G234" s="113">
        <f>IF(($B234/$B208)-B234-C234-D234-E234-F234&gt;=0.1,((($B234/$B208)-$B234)/$B$7),0)</f>
        <v>0</v>
      </c>
      <c r="H234" s="113">
        <f>IF(($B234/$B208)-B234-C234-D234-E234-F234-G234&gt;=0.1,((($B234/$B208)-$B234)/$B$7),0)</f>
        <v>0</v>
      </c>
      <c r="I234" s="113">
        <f>IF(($B234/$B208)-B234-C234-D234-E234-F234-G234-H234&gt;=0.1,((($B234/$B208)-$B234)/$B$7),0)</f>
        <v>0</v>
      </c>
      <c r="J234" s="113">
        <f>IF(($B234/$B208)-B234-C234-D234-E234-F234-G234-H234-I234&gt;=0.1,((($B234/$B208)-$B234)/$B$7),0)</f>
        <v>0</v>
      </c>
      <c r="K234" s="113">
        <f>IF(($B234/$B208)-B234-C234-D234-E234-F234-G234-H234-I234-J234&gt;=0.1,((($B234/$B208)-$B234)/$B$7),0)</f>
        <v>0</v>
      </c>
    </row>
    <row r="235" spans="1:12" ht="12.75">
      <c r="A235" s="13" t="s">
        <v>96</v>
      </c>
      <c r="B235" s="12">
        <f aca="true" t="shared" si="70" ref="B235:K235">IF(B233&lt;=0,0,B233)+IF(B234&lt;=0,0,B234)+B232</f>
        <v>0</v>
      </c>
      <c r="C235" s="12">
        <f t="shared" si="70"/>
        <v>0</v>
      </c>
      <c r="D235" s="12">
        <f t="shared" si="70"/>
        <v>0</v>
      </c>
      <c r="E235" s="12">
        <f t="shared" si="70"/>
        <v>0</v>
      </c>
      <c r="F235" s="12">
        <f t="shared" si="70"/>
        <v>0</v>
      </c>
      <c r="G235" s="12">
        <f t="shared" si="70"/>
        <v>0</v>
      </c>
      <c r="H235" s="12">
        <f t="shared" si="70"/>
        <v>0</v>
      </c>
      <c r="I235" s="12">
        <f t="shared" si="70"/>
        <v>0</v>
      </c>
      <c r="J235" s="12">
        <f t="shared" si="70"/>
        <v>0</v>
      </c>
      <c r="K235" s="12">
        <f t="shared" si="70"/>
        <v>0</v>
      </c>
      <c r="L235" s="12"/>
    </row>
    <row r="236" spans="1:11" ht="12.75">
      <c r="A236" t="s">
        <v>36</v>
      </c>
      <c r="B236" s="12">
        <f aca="true" t="shared" si="71" ref="B236:K236">IF($B$12="yes",(B235*0.2),0)</f>
        <v>0</v>
      </c>
      <c r="C236" s="12">
        <f t="shared" si="71"/>
        <v>0</v>
      </c>
      <c r="D236" s="12">
        <f t="shared" si="71"/>
        <v>0</v>
      </c>
      <c r="E236" s="12">
        <f t="shared" si="71"/>
        <v>0</v>
      </c>
      <c r="F236" s="12">
        <f t="shared" si="71"/>
        <v>0</v>
      </c>
      <c r="G236" s="12">
        <f t="shared" si="71"/>
        <v>0</v>
      </c>
      <c r="H236" s="12">
        <f t="shared" si="71"/>
        <v>0</v>
      </c>
      <c r="I236" s="12">
        <f t="shared" si="71"/>
        <v>0</v>
      </c>
      <c r="J236" s="12">
        <f t="shared" si="71"/>
        <v>0</v>
      </c>
      <c r="K236" s="12">
        <f t="shared" si="71"/>
        <v>0</v>
      </c>
    </row>
    <row r="237" spans="1:4" ht="12.75" hidden="1">
      <c r="A237" t="s">
        <v>54</v>
      </c>
      <c r="B237" s="12">
        <f>((D203)-SUM(B235:K236))*D206</f>
        <v>366780.3</v>
      </c>
      <c r="C237" s="12"/>
      <c r="D237" s="12"/>
    </row>
    <row r="238" spans="1:4" ht="12.75" hidden="1">
      <c r="A238" t="s">
        <v>56</v>
      </c>
      <c r="B238" s="12">
        <f>IF(B203='Summary Page'!A9,'Summary Page'!F9*NG_Technologies!B204,((D203)-SUM(B235:K236))*D206)</f>
        <v>300000</v>
      </c>
      <c r="C238" s="12"/>
      <c r="D238" s="12"/>
    </row>
    <row r="239" spans="1:4" ht="12.75">
      <c r="A239" t="s">
        <v>53</v>
      </c>
      <c r="B239" s="12">
        <f>MIN(B237:B238)</f>
        <v>300000</v>
      </c>
      <c r="C239" s="12"/>
      <c r="D239" s="12"/>
    </row>
    <row r="240" spans="1:13" ht="12.75">
      <c r="A240" t="s">
        <v>38</v>
      </c>
      <c r="B240" s="16">
        <f>-$D203+B220+B225+B226+B227+B228++B229+B230+B231+B235+B236+B239</f>
        <v>-881199.3409500001</v>
      </c>
      <c r="C240" s="16">
        <f aca="true" t="shared" si="72" ref="C240:K240">C220+C225+C226+C227+C228+C235+C236+C239</f>
        <v>54292.17126696001</v>
      </c>
      <c r="D240" s="16">
        <f t="shared" si="72"/>
        <v>55387.82016764621</v>
      </c>
      <c r="E240" s="16">
        <f t="shared" si="72"/>
        <v>56488.71159491913</v>
      </c>
      <c r="F240" s="16">
        <f t="shared" si="72"/>
        <v>57594.95187386573</v>
      </c>
      <c r="G240" s="16">
        <f t="shared" si="72"/>
        <v>58706.64782207557</v>
      </c>
      <c r="H240" s="16">
        <f t="shared" si="72"/>
        <v>59823.90675996208</v>
      </c>
      <c r="I240" s="16">
        <f t="shared" si="72"/>
        <v>60946.836521130266</v>
      </c>
      <c r="J240" s="16">
        <f t="shared" si="72"/>
        <v>62075.54546279144</v>
      </c>
      <c r="K240" s="16">
        <f t="shared" si="72"/>
        <v>63210.14247622602</v>
      </c>
      <c r="M240" s="16"/>
    </row>
    <row r="241" spans="1:11" ht="12.75">
      <c r="A241" t="s">
        <v>39</v>
      </c>
      <c r="B241" s="16">
        <f>B240</f>
        <v>-881199.3409500001</v>
      </c>
      <c r="C241" s="16">
        <f aca="true" t="shared" si="73" ref="C241:K241">B241+C240</f>
        <v>-826907.1696830401</v>
      </c>
      <c r="D241" s="16">
        <f t="shared" si="73"/>
        <v>-771519.349515394</v>
      </c>
      <c r="E241" s="16">
        <f t="shared" si="73"/>
        <v>-715030.6379204749</v>
      </c>
      <c r="F241" s="16">
        <f t="shared" si="73"/>
        <v>-657435.6860466092</v>
      </c>
      <c r="G241" s="16">
        <f t="shared" si="73"/>
        <v>-598729.0382245337</v>
      </c>
      <c r="H241" s="16">
        <f t="shared" si="73"/>
        <v>-538905.1314645716</v>
      </c>
      <c r="I241" s="16">
        <f t="shared" si="73"/>
        <v>-477958.2949434413</v>
      </c>
      <c r="J241" s="16">
        <f t="shared" si="73"/>
        <v>-415882.7494806498</v>
      </c>
      <c r="K241" s="16">
        <f t="shared" si="73"/>
        <v>-352672.6070044238</v>
      </c>
    </row>
    <row r="242" spans="2:11" ht="12.75">
      <c r="B242" s="17"/>
      <c r="C242" s="17"/>
      <c r="D242" s="18"/>
      <c r="E242" s="18"/>
      <c r="F242" s="18"/>
      <c r="G242" s="19"/>
      <c r="H242" s="19"/>
      <c r="I242" s="17"/>
      <c r="J242" s="17"/>
      <c r="K242" s="17"/>
    </row>
    <row r="243" spans="1:11" ht="12.75">
      <c r="A243" s="20" t="s">
        <v>40</v>
      </c>
      <c r="B243" s="21">
        <f>(NPV($B$8,C240:K240))+$B$240</f>
        <v>-466359.05522618035</v>
      </c>
      <c r="C243" s="18"/>
      <c r="E243" s="18"/>
      <c r="F243" s="18"/>
      <c r="G243" s="19"/>
      <c r="H243" s="19"/>
      <c r="I243" s="17"/>
      <c r="J243" s="17"/>
      <c r="K243" s="17"/>
    </row>
    <row r="244" spans="1:11" ht="12.75">
      <c r="A244" s="22" t="s">
        <v>41</v>
      </c>
      <c r="B244" s="23">
        <f>IRR(B240:K240)</f>
        <v>-0.08975227548639642</v>
      </c>
      <c r="C244" s="18"/>
      <c r="D244" s="18"/>
      <c r="E244" s="18"/>
      <c r="F244" s="24"/>
      <c r="G244" s="19"/>
      <c r="H244" s="19"/>
      <c r="I244" s="17"/>
      <c r="J244" s="17"/>
      <c r="K244" s="17"/>
    </row>
    <row r="245" spans="1:11" ht="12.75">
      <c r="A245" s="25" t="s">
        <v>42</v>
      </c>
      <c r="B245" s="26" t="e">
        <f>COUNTIF(B241:K241,"&lt;0")+1-INDEX(B241:K241,COUNTIF(B241:K241,"&lt;0")+1)/INDEX(B240:K240,COUNTIF(B241:K241,"&lt;0")+1)</f>
        <v>#REF!</v>
      </c>
      <c r="C245" s="18"/>
      <c r="E245" s="18"/>
      <c r="F245" s="18"/>
      <c r="G245" s="19"/>
      <c r="H245" s="19"/>
      <c r="I245" s="17"/>
      <c r="J245" s="17"/>
      <c r="K245" s="17"/>
    </row>
    <row r="246" spans="1:11" ht="12.75">
      <c r="A246" s="27"/>
      <c r="B246" s="28"/>
      <c r="C246" s="18"/>
      <c r="E246" s="18"/>
      <c r="F246" s="18"/>
      <c r="G246" s="19"/>
      <c r="H246" s="19"/>
      <c r="I246" s="17"/>
      <c r="J246" s="17"/>
      <c r="K246" s="17"/>
    </row>
    <row r="247" ht="12.75">
      <c r="A247" s="7"/>
    </row>
    <row r="248" spans="1:7" ht="12.75">
      <c r="A248" s="29" t="s">
        <v>43</v>
      </c>
      <c r="F248" s="11"/>
      <c r="G248" s="11"/>
    </row>
    <row r="249" spans="1:12" ht="12.75">
      <c r="A249" s="20" t="s">
        <v>26</v>
      </c>
      <c r="B249" s="30">
        <v>2010</v>
      </c>
      <c r="C249" s="30">
        <v>2011</v>
      </c>
      <c r="D249" s="30">
        <v>2012</v>
      </c>
      <c r="E249" s="30">
        <v>2013</v>
      </c>
      <c r="F249" s="30">
        <v>2014</v>
      </c>
      <c r="G249" s="30">
        <v>2015</v>
      </c>
      <c r="H249" s="30">
        <v>2016</v>
      </c>
      <c r="I249" s="30">
        <v>2017</v>
      </c>
      <c r="J249" s="30">
        <v>2018</v>
      </c>
      <c r="K249" s="30">
        <v>2019</v>
      </c>
      <c r="L249" s="31">
        <v>2020</v>
      </c>
    </row>
    <row r="250" spans="1:12" ht="12.75">
      <c r="A250" s="2" t="s">
        <v>44</v>
      </c>
      <c r="B250" s="32">
        <v>6.2</v>
      </c>
      <c r="C250" s="32">
        <v>7.04</v>
      </c>
      <c r="D250" s="32">
        <v>7.24</v>
      </c>
      <c r="E250" s="32">
        <v>7.36</v>
      </c>
      <c r="F250" s="32">
        <v>7.5</v>
      </c>
      <c r="G250" s="32">
        <v>7.66</v>
      </c>
      <c r="H250" s="32">
        <v>7.81</v>
      </c>
      <c r="I250" s="32">
        <v>7.97</v>
      </c>
      <c r="J250" s="32">
        <v>8.13</v>
      </c>
      <c r="K250" s="32">
        <v>8.29</v>
      </c>
      <c r="L250" s="33">
        <v>8.45</v>
      </c>
    </row>
    <row r="251" spans="1:12" ht="12.75">
      <c r="A251" s="6" t="s">
        <v>45</v>
      </c>
      <c r="B251" s="34">
        <f>$D209</f>
        <v>0.117969</v>
      </c>
      <c r="C251" s="34">
        <f aca="true" t="shared" si="74" ref="C251:K251">($D209)*(1+$B212)^B217</f>
        <v>0.12032838000000001</v>
      </c>
      <c r="D251" s="34">
        <f t="shared" si="74"/>
        <v>0.1227349476</v>
      </c>
      <c r="E251" s="34">
        <f t="shared" si="74"/>
        <v>0.125189646552</v>
      </c>
      <c r="F251" s="34">
        <f t="shared" si="74"/>
        <v>0.12769343948304</v>
      </c>
      <c r="G251" s="34">
        <f t="shared" si="74"/>
        <v>0.1302473082727008</v>
      </c>
      <c r="H251" s="34">
        <f t="shared" si="74"/>
        <v>0.13285225443815482</v>
      </c>
      <c r="I251" s="34">
        <f t="shared" si="74"/>
        <v>0.1355092995269179</v>
      </c>
      <c r="J251" s="34">
        <f t="shared" si="74"/>
        <v>0.13821948551745628</v>
      </c>
      <c r="K251" s="34">
        <f t="shared" si="74"/>
        <v>0.1409838752278054</v>
      </c>
      <c r="L251" s="107">
        <f>K251*(1+$B$10)</f>
        <v>0.1438035527323615</v>
      </c>
    </row>
    <row r="252" spans="1:12" ht="12.75">
      <c r="A252" s="92"/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34"/>
    </row>
    <row r="253" spans="1:12" ht="12.75">
      <c r="A253" s="92"/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34"/>
    </row>
  </sheetData>
  <sheetProtection/>
  <printOptions/>
  <pageMargins left="0.75" right="0.75" top="1" bottom="1" header="0.5" footer="0.5"/>
  <pageSetup horizontalDpi="600" verticalDpi="600" orientation="landscape" scale="45" r:id="rId3"/>
  <headerFooter alignWithMargins="0">
    <oddHeader xml:space="preserve">&amp;CSGIP Staff Proposal Financial Analysis Workbook, Page &amp;P </oddHeader>
  </headerFooter>
  <rowBreaks count="4" manualBreakCount="4">
    <brk id="44" max="255" man="1"/>
    <brk id="93" max="255" man="1"/>
    <brk id="144" max="255" man="1"/>
    <brk id="19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20.57421875" style="0" customWidth="1"/>
    <col min="3" max="3" width="26.57421875" style="0" customWidth="1"/>
    <col min="4" max="4" width="10.57421875" style="0" bestFit="1" customWidth="1"/>
    <col min="5" max="5" width="10.140625" style="0" bestFit="1" customWidth="1"/>
    <col min="6" max="6" width="10.421875" style="0" bestFit="1" customWidth="1"/>
    <col min="7" max="7" width="11.140625" style="0" bestFit="1" customWidth="1"/>
    <col min="8" max="11" width="10.57421875" style="0" bestFit="1" customWidth="1"/>
    <col min="12" max="12" width="9.28125" style="0" bestFit="1" customWidth="1"/>
    <col min="20" max="20" width="9.28125" style="0" bestFit="1" customWidth="1"/>
  </cols>
  <sheetData>
    <row r="1" spans="1:22" ht="12.75">
      <c r="A1" s="38" t="s">
        <v>0</v>
      </c>
      <c r="B1" s="81" t="str">
        <f>'Summary Page'!A19</f>
        <v>Pressure Reduction</v>
      </c>
      <c r="C1" s="114" t="s">
        <v>1</v>
      </c>
      <c r="D1" s="41">
        <f>(D2*B2)-B21</f>
        <v>353100</v>
      </c>
      <c r="E1" s="65"/>
      <c r="F1" s="111"/>
      <c r="G1" s="17"/>
      <c r="H1" s="17"/>
      <c r="I1" s="17"/>
      <c r="J1" s="17"/>
      <c r="K1" s="17"/>
      <c r="L1" s="17"/>
      <c r="M1" s="17"/>
      <c r="N1" s="17"/>
      <c r="O1" s="17"/>
      <c r="V1" s="3">
        <v>1</v>
      </c>
    </row>
    <row r="2" spans="1:22" ht="12.75">
      <c r="A2" s="114" t="s">
        <v>3</v>
      </c>
      <c r="B2" s="42">
        <f>VLOOKUP(B1,'Summary Page'!A7:K19,2,0)</f>
        <v>100</v>
      </c>
      <c r="C2" s="114" t="s">
        <v>4</v>
      </c>
      <c r="D2" s="41">
        <f>VLOOKUP(B1,'Summary Page'!A7:K19,3,0)</f>
        <v>3488</v>
      </c>
      <c r="E2" s="65"/>
      <c r="F2" s="1"/>
      <c r="G2" s="17"/>
      <c r="H2" s="17"/>
      <c r="I2" s="17"/>
      <c r="J2" s="17"/>
      <c r="K2" s="17"/>
      <c r="L2" s="17"/>
      <c r="M2" s="17"/>
      <c r="N2" s="17"/>
      <c r="O2" s="17"/>
      <c r="V2" s="3">
        <v>2</v>
      </c>
    </row>
    <row r="3" spans="1:22" ht="12.75">
      <c r="A3" s="38" t="s">
        <v>90</v>
      </c>
      <c r="B3" s="41">
        <f>VLOOKUP(B1,'Summary Page'!$A$7:$K$19,11,0)</f>
        <v>0</v>
      </c>
      <c r="C3" s="116" t="s">
        <v>6</v>
      </c>
      <c r="D3" s="83">
        <f>VLOOKUP(B1,'Summary Page'!A7:K19,4,0)</f>
        <v>0.01</v>
      </c>
      <c r="E3" s="65"/>
      <c r="F3" s="17"/>
      <c r="G3" s="17"/>
      <c r="H3" s="17"/>
      <c r="I3" s="17"/>
      <c r="J3" s="17"/>
      <c r="K3" s="17"/>
      <c r="L3" s="17"/>
      <c r="M3" s="17"/>
      <c r="N3" s="17"/>
      <c r="O3" s="17"/>
      <c r="V3" s="3">
        <v>3</v>
      </c>
    </row>
    <row r="4" spans="1:22" ht="12.75">
      <c r="A4" s="38" t="s">
        <v>91</v>
      </c>
      <c r="B4" s="41">
        <f>(VLOOKUP(B1,'Summary Page'!$A$7:$K$19,11,0))*'Summary Page'!$B$39</f>
        <v>0</v>
      </c>
      <c r="C4" s="117" t="s">
        <v>8</v>
      </c>
      <c r="D4" s="86">
        <f>VLOOKUP(B1,'Summary Page'!A7:K19,5,0)</f>
        <v>0.3</v>
      </c>
      <c r="E4" s="66"/>
      <c r="F4" s="17"/>
      <c r="G4" s="17"/>
      <c r="H4" s="17"/>
      <c r="I4" s="17"/>
      <c r="J4" s="17"/>
      <c r="K4" s="17"/>
      <c r="L4" s="17"/>
      <c r="M4" s="17"/>
      <c r="N4" s="17"/>
      <c r="O4" s="17"/>
      <c r="V4" s="3">
        <v>4</v>
      </c>
    </row>
    <row r="5" spans="1:20" ht="12.75">
      <c r="A5" s="38" t="s">
        <v>92</v>
      </c>
      <c r="B5" s="41">
        <f>(VLOOKUP(B1,'Summary Page'!$A$7:$K$19,11,0))*'Summary Page'!$B$40</f>
        <v>0</v>
      </c>
      <c r="C5" s="118" t="s">
        <v>15</v>
      </c>
      <c r="D5" s="119">
        <f>'Summary Page'!B27</f>
        <v>0.117969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T5" s="3">
        <v>5</v>
      </c>
    </row>
    <row r="6" spans="1:20" ht="12.75">
      <c r="A6" s="115" t="s">
        <v>7</v>
      </c>
      <c r="B6" s="84">
        <f>'Summary Page'!B23</f>
        <v>0.25</v>
      </c>
      <c r="C6" s="114" t="s">
        <v>17</v>
      </c>
      <c r="D6" s="41">
        <f>'Summary Page'!B29</f>
        <v>1439.01615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T6" s="3">
        <v>6</v>
      </c>
    </row>
    <row r="7" spans="1:22" ht="12.75">
      <c r="A7" s="115" t="s">
        <v>9</v>
      </c>
      <c r="B7" s="91">
        <f>'Summary Page'!B24</f>
        <v>5</v>
      </c>
      <c r="C7" s="99" t="s">
        <v>19</v>
      </c>
      <c r="D7" s="103">
        <f>'Summary Page'!B34</f>
        <v>8760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V7" s="3">
        <v>7</v>
      </c>
    </row>
    <row r="8" spans="1:20" ht="12.75">
      <c r="A8" s="114" t="s">
        <v>12</v>
      </c>
      <c r="B8" s="43">
        <f>'Summary Page'!B26</f>
        <v>0.05</v>
      </c>
      <c r="D8" s="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T8" s="3">
        <v>8</v>
      </c>
    </row>
    <row r="9" spans="1:20" ht="12.75">
      <c r="A9" s="114" t="s">
        <v>14</v>
      </c>
      <c r="B9" s="43">
        <f>'Summary Page'!B35</f>
        <v>0.01</v>
      </c>
      <c r="D9" s="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T9" s="3">
        <v>9</v>
      </c>
    </row>
    <row r="10" spans="1:14" ht="12.75">
      <c r="A10" s="115" t="s">
        <v>16</v>
      </c>
      <c r="B10" s="43">
        <f>'Summary Page'!B28</f>
        <v>0.02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1" ht="12.75">
      <c r="A11" s="115" t="s">
        <v>18</v>
      </c>
      <c r="B11" s="43">
        <f>VLOOKUP(B1,'Summary Page'!A7:K19,10,0)</f>
        <v>0.8</v>
      </c>
      <c r="E11" s="17"/>
      <c r="F11" s="17"/>
      <c r="G11" s="17"/>
      <c r="H11" s="17"/>
      <c r="I11" s="17"/>
      <c r="J11" s="17"/>
      <c r="K11" s="17"/>
    </row>
    <row r="12" spans="1:11" ht="12.75">
      <c r="A12" s="8" t="s">
        <v>22</v>
      </c>
      <c r="B12" s="102" t="str">
        <f>'Summary Page'!B25</f>
        <v>Yes</v>
      </c>
      <c r="E12" s="17"/>
      <c r="F12" s="17"/>
      <c r="G12" s="17"/>
      <c r="H12" s="17"/>
      <c r="I12" s="17"/>
      <c r="J12" s="17"/>
      <c r="K12" s="17"/>
    </row>
    <row r="13" spans="4:11" ht="12.75">
      <c r="D13" s="17"/>
      <c r="E13" s="17"/>
      <c r="F13" s="17"/>
      <c r="G13" s="17"/>
      <c r="H13" s="17"/>
      <c r="I13" s="17"/>
      <c r="J13" s="17"/>
      <c r="K13" s="17"/>
    </row>
    <row r="15" spans="1:11" ht="12.75">
      <c r="A15" s="10" t="s">
        <v>26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</row>
    <row r="17" spans="1:11" ht="12.75">
      <c r="A17" t="s">
        <v>27</v>
      </c>
      <c r="B17" s="11">
        <f>B2*B11*D7</f>
        <v>700800</v>
      </c>
      <c r="C17" s="11">
        <f aca="true" t="shared" si="0" ref="C17:K17">(B17)*(1-$B$9)</f>
        <v>693792</v>
      </c>
      <c r="D17" s="11">
        <f t="shared" si="0"/>
        <v>686854.08</v>
      </c>
      <c r="E17" s="11">
        <f t="shared" si="0"/>
        <v>679985.5392</v>
      </c>
      <c r="F17" s="11">
        <f t="shared" si="0"/>
        <v>673185.683808</v>
      </c>
      <c r="G17" s="11">
        <f t="shared" si="0"/>
        <v>666453.82696992</v>
      </c>
      <c r="H17" s="11">
        <f t="shared" si="0"/>
        <v>659789.2887002208</v>
      </c>
      <c r="I17" s="11">
        <f t="shared" si="0"/>
        <v>653191.3958132186</v>
      </c>
      <c r="J17" s="11">
        <f t="shared" si="0"/>
        <v>646659.4818550864</v>
      </c>
      <c r="K17" s="11">
        <f t="shared" si="0"/>
        <v>640192.8870365355</v>
      </c>
    </row>
    <row r="18" spans="1:11" ht="12.75">
      <c r="A18" t="s">
        <v>28</v>
      </c>
      <c r="B18" s="12">
        <f aca="true" t="shared" si="1" ref="B18:K18">B17*B38</f>
        <v>82672.6752</v>
      </c>
      <c r="C18" s="12">
        <f t="shared" si="1"/>
        <v>83482.86741696001</v>
      </c>
      <c r="D18" s="12">
        <f t="shared" si="1"/>
        <v>84300.99951764621</v>
      </c>
      <c r="E18" s="12">
        <f t="shared" si="1"/>
        <v>85127.14931291915</v>
      </c>
      <c r="F18" s="12">
        <f t="shared" si="1"/>
        <v>85961.39537618576</v>
      </c>
      <c r="G18" s="12">
        <f t="shared" si="1"/>
        <v>86803.81705087237</v>
      </c>
      <c r="H18" s="12">
        <f t="shared" si="1"/>
        <v>87654.49445797091</v>
      </c>
      <c r="I18" s="12">
        <f t="shared" si="1"/>
        <v>88513.50850365903</v>
      </c>
      <c r="J18" s="12">
        <f t="shared" si="1"/>
        <v>89380.9408869949</v>
      </c>
      <c r="K18" s="12">
        <f t="shared" si="1"/>
        <v>90256.87410768744</v>
      </c>
    </row>
    <row r="19" spans="1:11" ht="12.75">
      <c r="A19" t="s">
        <v>35</v>
      </c>
      <c r="B19" s="15">
        <f>-$B$17*$D$3</f>
        <v>-7008</v>
      </c>
      <c r="C19" s="15">
        <f aca="true" t="shared" si="2" ref="C19:K19">-$B$17*$D$3</f>
        <v>-7008</v>
      </c>
      <c r="D19" s="15">
        <f t="shared" si="2"/>
        <v>-7008</v>
      </c>
      <c r="E19" s="15">
        <f t="shared" si="2"/>
        <v>-7008</v>
      </c>
      <c r="F19" s="15">
        <f t="shared" si="2"/>
        <v>-7008</v>
      </c>
      <c r="G19" s="15">
        <f t="shared" si="2"/>
        <v>-7008</v>
      </c>
      <c r="H19" s="15">
        <f t="shared" si="2"/>
        <v>-7008</v>
      </c>
      <c r="I19" s="15">
        <f t="shared" si="2"/>
        <v>-7008</v>
      </c>
      <c r="J19" s="15">
        <f t="shared" si="2"/>
        <v>-7008</v>
      </c>
      <c r="K19" s="15">
        <f t="shared" si="2"/>
        <v>-7008</v>
      </c>
    </row>
    <row r="20" spans="1:11" ht="12.75">
      <c r="A20" s="13" t="s">
        <v>78</v>
      </c>
      <c r="B20" s="15">
        <f>-$D$6</f>
        <v>-1439.01615</v>
      </c>
      <c r="C20" s="15">
        <f aca="true" t="shared" si="3" ref="C20:K20">-$D$6</f>
        <v>-1439.01615</v>
      </c>
      <c r="D20" s="15">
        <f t="shared" si="3"/>
        <v>-1439.01615</v>
      </c>
      <c r="E20" s="15">
        <f t="shared" si="3"/>
        <v>-1439.01615</v>
      </c>
      <c r="F20" s="15">
        <f t="shared" si="3"/>
        <v>-1439.01615</v>
      </c>
      <c r="G20" s="15">
        <f t="shared" si="3"/>
        <v>-1439.01615</v>
      </c>
      <c r="H20" s="15">
        <f t="shared" si="3"/>
        <v>-1439.01615</v>
      </c>
      <c r="I20" s="15">
        <f t="shared" si="3"/>
        <v>-1439.01615</v>
      </c>
      <c r="J20" s="15">
        <f t="shared" si="3"/>
        <v>-1439.01615</v>
      </c>
      <c r="K20" s="15">
        <f t="shared" si="3"/>
        <v>-1439.01615</v>
      </c>
    </row>
    <row r="21" spans="1:11" ht="12.75">
      <c r="A21" s="13" t="s">
        <v>83</v>
      </c>
      <c r="B21" s="15">
        <f>-'Summary Page'!$B$30</f>
        <v>-4300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" hidden="1">
      <c r="A22" s="13" t="s">
        <v>93</v>
      </c>
      <c r="B22" s="113">
        <f>IF(B2&gt;=1000,1000*B3*B6,B2*B3*B6)</f>
        <v>0</v>
      </c>
      <c r="C22" s="113">
        <f>IF(($B22/$B6)-B22&gt;=0.1,((($B22/$B6)-$B22)/$B$7),0)</f>
        <v>0</v>
      </c>
      <c r="D22" s="113">
        <f>IF(($B22/$B$6)-B22-C22&gt;=0.1,((($B22/$B$6)-$B22)/$B$7),0)</f>
        <v>0</v>
      </c>
      <c r="E22" s="113">
        <f>IF(($B22/$B$6)-B22-C22-D22&gt;=0.1,((($B22/$B$6)-$B22)/$B$7),0)</f>
        <v>0</v>
      </c>
      <c r="F22" s="113">
        <f>IF(($B22/$B$6)-B22-C22-D22-E22&gt;=0.1,((($B22/$B$6)-$B22)/$B$7),0)</f>
        <v>0</v>
      </c>
      <c r="G22" s="113">
        <f>IF(($B22/$B$6)-B22-C22-D22-E22-F22&gt;=0.1,((($B22/$B$6)-$B22)/$B$7),0)</f>
        <v>0</v>
      </c>
      <c r="H22" s="113">
        <f>IF(($B22/$B$6)-B22-C22-D22-E22-F22-G22&gt;=0.1,((($B22/$B$6)-$B22)/$B$7),0)</f>
        <v>0</v>
      </c>
      <c r="I22" s="113">
        <f>IF(($B22/$B$6)-B22-C22-D22-E22-F22-G22-H22&gt;=0.1,((($B22/$B$6)-$B22)/$B$7),0)</f>
        <v>0</v>
      </c>
      <c r="J22" s="113">
        <f>IF(($B22/$B$6)-B22-C22-D22-E22-F22-G22-H22-I22&gt;=0.1,((($B22/$B$6)-$B22)/$B$7),0)</f>
        <v>0</v>
      </c>
      <c r="K22" s="113">
        <f>IF(($B22/$B$6)-B22-C22-D22-E22-F22-G22-H22-I22-J22&gt;=0.1,((($B22/$B$6)-$B22)/$B$7),0)</f>
        <v>0</v>
      </c>
    </row>
    <row r="23" spans="1:11" ht="12" hidden="1">
      <c r="A23" s="13" t="s">
        <v>94</v>
      </c>
      <c r="B23" s="113">
        <f>IF(AND(B2&gt;=0,B2&lt;=2000),(B2-1000)*B4*B6,1000*B4*B6)</f>
        <v>0</v>
      </c>
      <c r="C23" s="113">
        <f>IF(($B23/$B$6)-B23&gt;=0.1,((($B23/$B$6)-$B23)/$B$7),0)</f>
        <v>0</v>
      </c>
      <c r="D23" s="113">
        <f>IF(($B23/$B$6)-B23-C23&gt;=0.1,((($B23/$B$6)-$B23)/$B$7),0)</f>
        <v>0</v>
      </c>
      <c r="E23" s="113">
        <f>IF(($B23/$B$6)-B23-C23-D23&gt;=0.1,((($B23/$B$6)-$B23)/$B$7),0)</f>
        <v>0</v>
      </c>
      <c r="F23" s="113">
        <f>IF(($B23/$B$6)-B23-C23-D23-E23&gt;=0.1,((($B23/$B$6)-$B23)/$B$7),0)</f>
        <v>0</v>
      </c>
      <c r="G23" s="113">
        <f>IF(($B23/$B$6)-B23-C23-D23-E23-F23&gt;=0.1,((($B23/$B$6)-$B23)/$B$7),0)</f>
        <v>0</v>
      </c>
      <c r="H23" s="113">
        <f>IF(($B23/$B$6)-B23-C23-D23-E23-F23-G23&gt;=0.1,((($B23/$B$6)-$B23)/$B$7),0)</f>
        <v>0</v>
      </c>
      <c r="I23" s="113">
        <f>IF(($B23/$B$6)-B23-C23-D23-E23-F23-G23-H23&gt;=0.1,((($B23/$B$6)-$B23)/$B$7),0)</f>
        <v>0</v>
      </c>
      <c r="J23" s="113">
        <f>IF(($B23/$B$6)-B23-C23-D23-E23-F23-G23-H23-I23&gt;=0.1,((($B23/$B$6)-$B23)/$B$7),0)</f>
        <v>0</v>
      </c>
      <c r="K23" s="113">
        <f>IF(($B23/$B$6)-B23-C23-D23-E23-F23-G23-H23-I23-J23&gt;=0.1,((($B23/$B$6)-$B23)/$B$7),0)</f>
        <v>0</v>
      </c>
    </row>
    <row r="24" spans="1:11" ht="12" hidden="1">
      <c r="A24" s="13" t="s">
        <v>95</v>
      </c>
      <c r="B24" s="113">
        <f>IF(AND(B2&gt;=0,B2&lt;=3000),(B2-2000)*B5*B6,1000*B5*B6)</f>
        <v>0</v>
      </c>
      <c r="C24" s="113">
        <f>IF(($B24/$B$6)-B24&gt;=0.1,((($B24/$B$6)-$B24)/$B$7),0)</f>
        <v>0</v>
      </c>
      <c r="D24" s="113">
        <f>IF(($B24/$B$6)-B24-C24&gt;=0.1,((($B24/$B$6)-$B24)/$B$7),0)</f>
        <v>0</v>
      </c>
      <c r="E24" s="113">
        <f>IF(($B24/$B$6)-B24-C24-D24&gt;=0.1,((($B24/$B$6)-$B24)/$B$7),0)</f>
        <v>0</v>
      </c>
      <c r="F24" s="113">
        <f>IF(($B24/$B$6)-B24-C24-D24-E24&gt;=0.1,((($B24/$B$6)-$B24)/$B$7),0)</f>
        <v>0</v>
      </c>
      <c r="G24" s="113">
        <f>IF(($B24/$B$6)-B24-C24-D24-E24-F24&gt;=0.1,((($B24/$B$6)-$B24)/$B$7),0)</f>
        <v>0</v>
      </c>
      <c r="H24" s="113">
        <f>IF(($B24/$B$6)-B24-C24-D24-E24-F24-G24&gt;=0.1,((($B24/$B$6)-$B24)/$B$7),0)</f>
        <v>0</v>
      </c>
      <c r="I24" s="113">
        <f>IF(($B24/$B$6)-B24-C24-D24-E24-F24-G24-H24&gt;=0.1,((($B24/$B$6)-$B24)/$B$7),0)</f>
        <v>0</v>
      </c>
      <c r="J24" s="113">
        <f>IF(($B24/$B$6)-B24-C24-D24-E24-F24-G24-H24-I24&gt;=0.1,((($B24/$B$6)-$B24)/$B$7),0)</f>
        <v>0</v>
      </c>
      <c r="K24" s="113">
        <f>IF(($B24/$B$6)-B24-C24-D24-E24-F24-G24-H24-I24-J24&gt;=0.1,((($B24/$B$6)-$B24)/$B$7),0)</f>
        <v>0</v>
      </c>
    </row>
    <row r="25" spans="1:11" ht="12.75">
      <c r="A25" s="13" t="s">
        <v>96</v>
      </c>
      <c r="B25" s="12">
        <f aca="true" t="shared" si="4" ref="B25:K25">IF(B23&lt;=0,0,B23)+IF(B24&lt;=0,0,B24)+B22</f>
        <v>0</v>
      </c>
      <c r="C25" s="12">
        <f t="shared" si="4"/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</row>
    <row r="26" spans="1:11" ht="12.75">
      <c r="A26" t="s">
        <v>36</v>
      </c>
      <c r="B26" s="12">
        <f aca="true" t="shared" si="5" ref="B26:K26">IF($B$12="yes",(B25*0.2),0)</f>
        <v>0</v>
      </c>
      <c r="C26" s="12">
        <f t="shared" si="5"/>
        <v>0</v>
      </c>
      <c r="D26" s="12">
        <f t="shared" si="5"/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</row>
    <row r="27" spans="1:4" ht="12.75">
      <c r="A27" t="s">
        <v>37</v>
      </c>
      <c r="B27" s="12">
        <f>((D1-SUM(B25:K26))*D4)</f>
        <v>105930</v>
      </c>
      <c r="C27" s="12"/>
      <c r="D27" s="12"/>
    </row>
    <row r="28" spans="1:11" ht="12.75">
      <c r="A28" t="s">
        <v>38</v>
      </c>
      <c r="B28" s="16">
        <f>-$D$1+B18+B19+B20+B21+B25+B26+B27</f>
        <v>-177244.34094999998</v>
      </c>
      <c r="C28" s="16">
        <f aca="true" t="shared" si="6" ref="C28:K28">C18+C19+C20+C25+C26+C27</f>
        <v>75035.85126696002</v>
      </c>
      <c r="D28" s="16">
        <f t="shared" si="6"/>
        <v>75853.98336764621</v>
      </c>
      <c r="E28" s="16">
        <f t="shared" si="6"/>
        <v>76680.13316291916</v>
      </c>
      <c r="F28" s="16">
        <f t="shared" si="6"/>
        <v>77514.37922618576</v>
      </c>
      <c r="G28" s="16">
        <f t="shared" si="6"/>
        <v>78356.80090087237</v>
      </c>
      <c r="H28" s="16">
        <f t="shared" si="6"/>
        <v>79207.47830797092</v>
      </c>
      <c r="I28" s="16">
        <f t="shared" si="6"/>
        <v>80066.49235365904</v>
      </c>
      <c r="J28" s="16">
        <f t="shared" si="6"/>
        <v>80933.9247369949</v>
      </c>
      <c r="K28" s="16">
        <f t="shared" si="6"/>
        <v>81809.85795768745</v>
      </c>
    </row>
    <row r="29" spans="1:11" ht="12.75">
      <c r="A29" t="s">
        <v>39</v>
      </c>
      <c r="B29" s="16">
        <f>B28</f>
        <v>-177244.34094999998</v>
      </c>
      <c r="C29" s="16">
        <f>B29+C28</f>
        <v>-102208.48968303997</v>
      </c>
      <c r="D29" s="16">
        <f aca="true" t="shared" si="7" ref="D29:K29">C29+D28</f>
        <v>-26354.50631539375</v>
      </c>
      <c r="E29" s="16">
        <f t="shared" si="7"/>
        <v>50325.626847525404</v>
      </c>
      <c r="F29" s="16">
        <f t="shared" si="7"/>
        <v>127840.00607371116</v>
      </c>
      <c r="G29" s="16">
        <f t="shared" si="7"/>
        <v>206196.80697458354</v>
      </c>
      <c r="H29" s="16">
        <f t="shared" si="7"/>
        <v>285404.28528255445</v>
      </c>
      <c r="I29" s="16">
        <f t="shared" si="7"/>
        <v>365470.77763621346</v>
      </c>
      <c r="J29" s="16">
        <f t="shared" si="7"/>
        <v>446404.70237320836</v>
      </c>
      <c r="K29" s="16">
        <f t="shared" si="7"/>
        <v>528214.5603308958</v>
      </c>
    </row>
    <row r="30" spans="2:11" ht="12.75">
      <c r="B30" s="17"/>
      <c r="C30" s="17"/>
      <c r="D30" s="18"/>
      <c r="E30" s="18"/>
      <c r="F30" s="18"/>
      <c r="G30" s="19"/>
      <c r="H30" s="19"/>
      <c r="I30" s="17"/>
      <c r="J30" s="17"/>
      <c r="K30" s="17"/>
    </row>
    <row r="31" spans="1:11" ht="12.75">
      <c r="A31" s="20" t="s">
        <v>40</v>
      </c>
      <c r="B31" s="21">
        <f>(NPV($B$8,C28:K28))+$B$28</f>
        <v>377947.4620361503</v>
      </c>
      <c r="C31" s="18"/>
      <c r="E31" s="18"/>
      <c r="F31" s="18"/>
      <c r="G31" s="19"/>
      <c r="H31" s="19"/>
      <c r="I31" s="17"/>
      <c r="J31" s="17"/>
      <c r="K31" s="17"/>
    </row>
    <row r="32" spans="1:11" ht="12.75">
      <c r="A32" s="22" t="s">
        <v>41</v>
      </c>
      <c r="B32" s="23">
        <f>IRR(B28:K28)</f>
        <v>0.41351536825230606</v>
      </c>
      <c r="C32" s="18"/>
      <c r="D32" s="18"/>
      <c r="E32" s="18"/>
      <c r="F32" s="24"/>
      <c r="G32" s="19"/>
      <c r="H32" s="19"/>
      <c r="I32" s="17"/>
      <c r="J32" s="17"/>
      <c r="K32" s="17"/>
    </row>
    <row r="33" spans="1:11" ht="12.75">
      <c r="A33" s="25" t="s">
        <v>42</v>
      </c>
      <c r="B33" s="26">
        <f>COUNTIF(B29:K29,"&lt;0")+1-INDEX(B29:K29,COUNTIF(B29:K29,"&lt;0")+1)/INDEX(B28:K28,COUNTIF(B29:K29,"&lt;0")+1)</f>
        <v>3.3436940603558867</v>
      </c>
      <c r="C33" s="18"/>
      <c r="E33" s="18"/>
      <c r="F33" s="18"/>
      <c r="G33" s="19"/>
      <c r="H33" s="19"/>
      <c r="I33" s="17"/>
      <c r="J33" s="17"/>
      <c r="K33" s="17"/>
    </row>
    <row r="35" ht="12.75">
      <c r="A35" s="97" t="s">
        <v>43</v>
      </c>
    </row>
    <row r="36" spans="1:12" ht="12.75">
      <c r="A36" s="20" t="s">
        <v>26</v>
      </c>
      <c r="B36" s="30">
        <v>2010</v>
      </c>
      <c r="C36" s="30">
        <v>2011</v>
      </c>
      <c r="D36" s="30">
        <v>2012</v>
      </c>
      <c r="E36" s="30">
        <v>2013</v>
      </c>
      <c r="F36" s="30">
        <v>2014</v>
      </c>
      <c r="G36" s="30">
        <v>2015</v>
      </c>
      <c r="H36" s="30">
        <v>2016</v>
      </c>
      <c r="I36" s="30">
        <v>2017</v>
      </c>
      <c r="J36" s="30">
        <v>2018</v>
      </c>
      <c r="K36" s="30">
        <v>2019</v>
      </c>
      <c r="L36" s="31">
        <v>2020</v>
      </c>
    </row>
    <row r="37" spans="1:12" ht="12.75">
      <c r="A37" s="2" t="s">
        <v>44</v>
      </c>
      <c r="B37" s="9">
        <v>6.2</v>
      </c>
      <c r="C37" s="9">
        <v>7.04</v>
      </c>
      <c r="D37" s="9">
        <v>7.24</v>
      </c>
      <c r="E37" s="9">
        <v>7.36</v>
      </c>
      <c r="F37" s="9">
        <v>7.5</v>
      </c>
      <c r="G37" s="9">
        <v>7.66</v>
      </c>
      <c r="H37" s="9">
        <v>7.81</v>
      </c>
      <c r="I37" s="9">
        <v>7.97</v>
      </c>
      <c r="J37" s="9">
        <v>8.13</v>
      </c>
      <c r="K37" s="9">
        <v>8.29</v>
      </c>
      <c r="L37" s="98">
        <v>8.45</v>
      </c>
    </row>
    <row r="38" spans="1:12" ht="12.75">
      <c r="A38" s="100" t="s">
        <v>45</v>
      </c>
      <c r="B38" s="105">
        <f>'Summary Page'!B27</f>
        <v>0.117969</v>
      </c>
      <c r="C38" s="105">
        <f aca="true" t="shared" si="8" ref="C38:L38">B38*(1+$B$10)</f>
        <v>0.12032838000000001</v>
      </c>
      <c r="D38" s="105">
        <f t="shared" si="8"/>
        <v>0.12273494760000002</v>
      </c>
      <c r="E38" s="105">
        <f t="shared" si="8"/>
        <v>0.12518964655200002</v>
      </c>
      <c r="F38" s="105">
        <f t="shared" si="8"/>
        <v>0.12769343948304002</v>
      </c>
      <c r="G38" s="105">
        <f t="shared" si="8"/>
        <v>0.1302473082727008</v>
      </c>
      <c r="H38" s="105">
        <f t="shared" si="8"/>
        <v>0.13285225443815482</v>
      </c>
      <c r="I38" s="105">
        <f t="shared" si="8"/>
        <v>0.13550929952691793</v>
      </c>
      <c r="J38" s="105">
        <f t="shared" si="8"/>
        <v>0.13821948551745628</v>
      </c>
      <c r="K38" s="105">
        <f t="shared" si="8"/>
        <v>0.1409838752278054</v>
      </c>
      <c r="L38" s="107">
        <f t="shared" si="8"/>
        <v>0.1438035527323615</v>
      </c>
    </row>
  </sheetData>
  <sheetProtection/>
  <dataValidations count="1">
    <dataValidation type="list" allowBlank="1" showInputMessage="1" showErrorMessage="1" sqref="B7">
      <formula1>$V$1:$V$9</formula1>
    </dataValidation>
  </dataValidations>
  <printOptions/>
  <pageMargins left="0.75" right="0.75" top="1" bottom="1" header="0.5" footer="0.5"/>
  <pageSetup horizontalDpi="600" verticalDpi="600" orientation="landscape" scale="53" r:id="rId3"/>
  <headerFooter alignWithMargins="0">
    <oddHeader xml:space="preserve">&amp;CSGIP Staff Proposal Financial Analysis Workbook, Page &amp;P </oddHeader>
  </headerFooter>
  <colBreaks count="1" manualBreakCount="1">
    <brk id="12" max="3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0.28125" style="0" bestFit="1" customWidth="1"/>
    <col min="2" max="2" width="24.7109375" style="0" bestFit="1" customWidth="1"/>
    <col min="3" max="3" width="25.7109375" style="0" customWidth="1"/>
    <col min="4" max="4" width="11.7109375" style="0" bestFit="1" customWidth="1"/>
    <col min="5" max="5" width="11.421875" style="0" bestFit="1" customWidth="1"/>
    <col min="6" max="8" width="12.140625" style="0" bestFit="1" customWidth="1"/>
    <col min="9" max="10" width="11.7109375" style="0" bestFit="1" customWidth="1"/>
    <col min="11" max="11" width="12.140625" style="0" bestFit="1" customWidth="1"/>
  </cols>
  <sheetData>
    <row r="1" spans="1:22" ht="12.75">
      <c r="A1" s="114" t="s">
        <v>0</v>
      </c>
      <c r="B1" s="81" t="str">
        <f>'Summary Page'!A18</f>
        <v>Organic Rankine Cycle</v>
      </c>
      <c r="C1" s="114" t="s">
        <v>1</v>
      </c>
      <c r="D1" s="41">
        <f>(D2*B2)-B21-B22</f>
        <v>307100</v>
      </c>
      <c r="E1" s="65"/>
      <c r="F1" s="17"/>
      <c r="G1" s="17"/>
      <c r="H1" s="17"/>
      <c r="I1" s="17"/>
      <c r="J1" s="17"/>
      <c r="K1" s="17"/>
      <c r="L1" s="17"/>
      <c r="M1" s="17"/>
      <c r="N1" s="17"/>
      <c r="O1" s="17"/>
      <c r="V1" s="3">
        <v>1</v>
      </c>
    </row>
    <row r="2" spans="1:22" ht="12.75">
      <c r="A2" s="114" t="s">
        <v>3</v>
      </c>
      <c r="B2" s="42">
        <f>VLOOKUP(B1,'Summary Page'!A7:K19,2,0)</f>
        <v>100</v>
      </c>
      <c r="C2" s="114" t="s">
        <v>4</v>
      </c>
      <c r="D2" s="41">
        <f>VLOOKUP(B1,'Summary Page'!A7:K19,3,0)</f>
        <v>2858</v>
      </c>
      <c r="E2" s="65"/>
      <c r="F2" s="17"/>
      <c r="G2" s="17"/>
      <c r="H2" s="17"/>
      <c r="I2" s="17"/>
      <c r="J2" s="17"/>
      <c r="K2" s="17"/>
      <c r="L2" s="17"/>
      <c r="M2" s="17"/>
      <c r="N2" s="17"/>
      <c r="O2" s="17"/>
      <c r="V2" s="3">
        <v>2</v>
      </c>
    </row>
    <row r="3" spans="1:22" ht="12.75">
      <c r="A3" s="38" t="s">
        <v>90</v>
      </c>
      <c r="B3" s="41">
        <f>VLOOKUP(B1,'Summary Page'!$A$7:$K$19,11,0)</f>
        <v>0</v>
      </c>
      <c r="C3" s="116" t="s">
        <v>6</v>
      </c>
      <c r="D3" s="83">
        <f>VLOOKUP(B1,'Summary Page'!A7:K19,4,0)</f>
        <v>0.01</v>
      </c>
      <c r="E3" s="65"/>
      <c r="F3" s="17"/>
      <c r="G3" s="17"/>
      <c r="H3" s="17"/>
      <c r="I3" s="17"/>
      <c r="J3" s="17"/>
      <c r="K3" s="17"/>
      <c r="L3" s="17"/>
      <c r="M3" s="17"/>
      <c r="N3" s="17"/>
      <c r="O3" s="17"/>
      <c r="V3" s="3">
        <v>3</v>
      </c>
    </row>
    <row r="4" spans="1:22" ht="12.75">
      <c r="A4" s="38" t="s">
        <v>91</v>
      </c>
      <c r="B4" s="41">
        <f>(VLOOKUP(B1,'Summary Page'!$A$7:$K$19,11,0))*'Summary Page'!$B$39</f>
        <v>0</v>
      </c>
      <c r="C4" s="117" t="s">
        <v>8</v>
      </c>
      <c r="D4" s="86">
        <f>VLOOKUP(B1,'Summary Page'!A7:K19,5,0)</f>
        <v>0</v>
      </c>
      <c r="E4" s="66"/>
      <c r="F4" s="17"/>
      <c r="G4" s="17"/>
      <c r="H4" s="17"/>
      <c r="I4" s="17"/>
      <c r="J4" s="17"/>
      <c r="K4" s="17"/>
      <c r="L4" s="17"/>
      <c r="M4" s="17"/>
      <c r="N4" s="17"/>
      <c r="O4" s="17"/>
      <c r="V4" s="3">
        <v>4</v>
      </c>
    </row>
    <row r="5" spans="1:20" ht="12.75">
      <c r="A5" s="38" t="s">
        <v>92</v>
      </c>
      <c r="B5" s="41">
        <f>(VLOOKUP(B1,'Summary Page'!$A$7:$K$19,11,0))*'Summary Page'!$B$40</f>
        <v>0</v>
      </c>
      <c r="C5" s="118" t="s">
        <v>15</v>
      </c>
      <c r="D5" s="119">
        <f>'Summary Page'!B27</f>
        <v>0.117969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T5" s="3">
        <v>5</v>
      </c>
    </row>
    <row r="6" spans="1:20" ht="12.75">
      <c r="A6" s="115" t="s">
        <v>7</v>
      </c>
      <c r="B6" s="84">
        <f>'Summary Page'!B23</f>
        <v>0.25</v>
      </c>
      <c r="C6" s="114" t="s">
        <v>17</v>
      </c>
      <c r="D6" s="41">
        <f>'Summary Page'!B29</f>
        <v>1439.01615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T6" s="3">
        <v>6</v>
      </c>
    </row>
    <row r="7" spans="1:22" ht="12.75">
      <c r="A7" s="115" t="s">
        <v>9</v>
      </c>
      <c r="B7" s="91">
        <f>'Summary Page'!B24</f>
        <v>5</v>
      </c>
      <c r="C7" s="114" t="s">
        <v>19</v>
      </c>
      <c r="D7" s="42">
        <f>'Summary Page'!B34</f>
        <v>8760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V7" s="3">
        <v>7</v>
      </c>
    </row>
    <row r="8" spans="1:20" ht="12.75">
      <c r="A8" s="114" t="s">
        <v>12</v>
      </c>
      <c r="B8" s="43">
        <f>'Summary Page'!B26</f>
        <v>0.05</v>
      </c>
      <c r="D8" s="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T8" s="3">
        <v>8</v>
      </c>
    </row>
    <row r="9" spans="1:20" ht="12.75">
      <c r="A9" s="114" t="s">
        <v>14</v>
      </c>
      <c r="B9" s="43">
        <f>'Summary Page'!B35</f>
        <v>0.01</v>
      </c>
      <c r="D9" s="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T9" s="3">
        <v>9</v>
      </c>
    </row>
    <row r="10" spans="1:14" ht="12.75">
      <c r="A10" s="115" t="s">
        <v>16</v>
      </c>
      <c r="B10" s="43">
        <f>'Summary Page'!B28</f>
        <v>0.02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1" ht="12.75">
      <c r="A11" s="115" t="s">
        <v>18</v>
      </c>
      <c r="B11" s="43">
        <f>VLOOKUP(B1,'Summary Page'!A7:K19,10,0)</f>
        <v>0.8</v>
      </c>
      <c r="E11" s="17"/>
      <c r="F11" s="17"/>
      <c r="G11" s="17"/>
      <c r="H11" s="17"/>
      <c r="I11" s="17"/>
      <c r="J11" s="17"/>
      <c r="K11" s="17"/>
    </row>
    <row r="12" spans="1:11" ht="12.75">
      <c r="A12" s="115" t="s">
        <v>22</v>
      </c>
      <c r="B12" s="89" t="str">
        <f>'Summary Page'!B25</f>
        <v>Yes</v>
      </c>
      <c r="E12" s="17"/>
      <c r="F12" s="17"/>
      <c r="G12" s="17"/>
      <c r="H12" s="17"/>
      <c r="I12" s="17"/>
      <c r="J12" s="17"/>
      <c r="K12" s="17"/>
    </row>
    <row r="13" spans="4:11" ht="12.75">
      <c r="D13" s="17"/>
      <c r="E13" s="17"/>
      <c r="F13" s="17"/>
      <c r="G13" s="17"/>
      <c r="H13" s="17"/>
      <c r="I13" s="17"/>
      <c r="J13" s="17"/>
      <c r="K13" s="17"/>
    </row>
    <row r="15" spans="1:11" ht="12.75">
      <c r="A15" s="10" t="s">
        <v>26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</row>
    <row r="17" spans="1:11" ht="12.75">
      <c r="A17" t="s">
        <v>27</v>
      </c>
      <c r="B17" s="11">
        <f>B2*B11*D7</f>
        <v>700800</v>
      </c>
      <c r="C17" s="11">
        <f aca="true" t="shared" si="0" ref="C17:K17">(B17)*(1-$B$9)</f>
        <v>693792</v>
      </c>
      <c r="D17" s="11">
        <f t="shared" si="0"/>
        <v>686854.08</v>
      </c>
      <c r="E17" s="11">
        <f t="shared" si="0"/>
        <v>679985.5392</v>
      </c>
      <c r="F17" s="11">
        <f t="shared" si="0"/>
        <v>673185.683808</v>
      </c>
      <c r="G17" s="11">
        <f t="shared" si="0"/>
        <v>666453.82696992</v>
      </c>
      <c r="H17" s="11">
        <f t="shared" si="0"/>
        <v>659789.2887002208</v>
      </c>
      <c r="I17" s="11">
        <f t="shared" si="0"/>
        <v>653191.3958132186</v>
      </c>
      <c r="J17" s="11">
        <f t="shared" si="0"/>
        <v>646659.4818550864</v>
      </c>
      <c r="K17" s="11">
        <f t="shared" si="0"/>
        <v>640192.8870365355</v>
      </c>
    </row>
    <row r="18" spans="1:11" ht="12.75">
      <c r="A18" t="s">
        <v>28</v>
      </c>
      <c r="B18" s="12">
        <f>B17*B39</f>
        <v>82672.6752</v>
      </c>
      <c r="C18" s="12">
        <f aca="true" t="shared" si="1" ref="C18:K18">C17*C39</f>
        <v>83482.86741696001</v>
      </c>
      <c r="D18" s="12">
        <f t="shared" si="1"/>
        <v>84300.99951764621</v>
      </c>
      <c r="E18" s="12">
        <f t="shared" si="1"/>
        <v>85127.14931291915</v>
      </c>
      <c r="F18" s="12">
        <f t="shared" si="1"/>
        <v>85961.39537618576</v>
      </c>
      <c r="G18" s="12">
        <f t="shared" si="1"/>
        <v>86803.81705087237</v>
      </c>
      <c r="H18" s="12">
        <f t="shared" si="1"/>
        <v>87654.49445797091</v>
      </c>
      <c r="I18" s="12">
        <f t="shared" si="1"/>
        <v>88513.50850365903</v>
      </c>
      <c r="J18" s="12">
        <f t="shared" si="1"/>
        <v>89380.9408869949</v>
      </c>
      <c r="K18" s="12">
        <f t="shared" si="1"/>
        <v>90256.87410768744</v>
      </c>
    </row>
    <row r="19" spans="1:11" ht="12.75">
      <c r="A19" t="s">
        <v>35</v>
      </c>
      <c r="B19" s="15">
        <f aca="true" t="shared" si="2" ref="B19:K19">-$B$17*$D$3</f>
        <v>-7008</v>
      </c>
      <c r="C19" s="15">
        <f t="shared" si="2"/>
        <v>-7008</v>
      </c>
      <c r="D19" s="15">
        <f t="shared" si="2"/>
        <v>-7008</v>
      </c>
      <c r="E19" s="15">
        <f t="shared" si="2"/>
        <v>-7008</v>
      </c>
      <c r="F19" s="15">
        <f t="shared" si="2"/>
        <v>-7008</v>
      </c>
      <c r="G19" s="15">
        <f t="shared" si="2"/>
        <v>-7008</v>
      </c>
      <c r="H19" s="15">
        <f t="shared" si="2"/>
        <v>-7008</v>
      </c>
      <c r="I19" s="15">
        <f t="shared" si="2"/>
        <v>-7008</v>
      </c>
      <c r="J19" s="15">
        <f t="shared" si="2"/>
        <v>-7008</v>
      </c>
      <c r="K19" s="15">
        <f t="shared" si="2"/>
        <v>-7008</v>
      </c>
    </row>
    <row r="20" spans="1:11" ht="12.75">
      <c r="A20" s="13" t="s">
        <v>78</v>
      </c>
      <c r="B20" s="15">
        <f>-$D$6</f>
        <v>-1439.01615</v>
      </c>
      <c r="C20" s="15">
        <f aca="true" t="shared" si="3" ref="C20:K20">-$D$6</f>
        <v>-1439.01615</v>
      </c>
      <c r="D20" s="15">
        <f t="shared" si="3"/>
        <v>-1439.01615</v>
      </c>
      <c r="E20" s="15">
        <f t="shared" si="3"/>
        <v>-1439.01615</v>
      </c>
      <c r="F20" s="15">
        <f t="shared" si="3"/>
        <v>-1439.01615</v>
      </c>
      <c r="G20" s="15">
        <f t="shared" si="3"/>
        <v>-1439.01615</v>
      </c>
      <c r="H20" s="15">
        <f t="shared" si="3"/>
        <v>-1439.01615</v>
      </c>
      <c r="I20" s="15">
        <f t="shared" si="3"/>
        <v>-1439.01615</v>
      </c>
      <c r="J20" s="15">
        <f t="shared" si="3"/>
        <v>-1439.01615</v>
      </c>
      <c r="K20" s="15">
        <f t="shared" si="3"/>
        <v>-1439.01615</v>
      </c>
    </row>
    <row r="21" spans="1:11" ht="12.75">
      <c r="A21" s="13" t="s">
        <v>83</v>
      </c>
      <c r="B21" s="15">
        <f>-'Summary Page'!$B$30</f>
        <v>-4300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3" t="s">
        <v>86</v>
      </c>
      <c r="B22" s="15">
        <f>-'Summary Page'!$B$31</f>
        <v>-17000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" hidden="1">
      <c r="A23" s="13" t="s">
        <v>93</v>
      </c>
      <c r="B23" s="113">
        <f>IF(B2&gt;=1000,1000*B3*B6,B2*B3*B6)</f>
        <v>0</v>
      </c>
      <c r="C23" s="113">
        <f>IF(($B23/$B6)-B23&gt;=0.1,((($B23/$B6)-$B23)/$B$7),0)</f>
        <v>0</v>
      </c>
      <c r="D23" s="113">
        <f>IF(($B23/$B$6)-B23-C23&gt;=0.1,((($B23/$B$6)-$B23)/$B$7),0)</f>
        <v>0</v>
      </c>
      <c r="E23" s="113">
        <f>IF(($B23/$B$6)-B23-C23-D23&gt;=0.1,((($B23/$B$6)-$B23)/$B$7),0)</f>
        <v>0</v>
      </c>
      <c r="F23" s="113">
        <f>IF(($B23/$B$6)-B23-C23-D23-E23&gt;=0.1,((($B23/$B$6)-$B23)/$B$7),0)</f>
        <v>0</v>
      </c>
      <c r="G23" s="113">
        <f>IF(($B23/$B$6)-B23-C23-D23-E23-F23&gt;=0.1,((($B23/$B$6)-$B23)/$B$7),0)</f>
        <v>0</v>
      </c>
      <c r="H23" s="113">
        <f>IF(($B23/$B$6)-B23-C23-D23-E23-F23-G23&gt;=0.1,((($B23/$B$6)-$B23)/$B$7),0)</f>
        <v>0</v>
      </c>
      <c r="I23" s="113">
        <f>IF(($B23/$B$6)-B23-C23-D23-E23-F23-G23-H23&gt;=0.1,((($B23/$B$6)-$B23)/$B$7),0)</f>
        <v>0</v>
      </c>
      <c r="J23" s="113">
        <f>IF(($B23/$B$6)-B23-C23-D23-E23-F23-G23-H23-I23&gt;=0.1,((($B23/$B$6)-$B23)/$B$7),0)</f>
        <v>0</v>
      </c>
      <c r="K23" s="113">
        <f>IF(($B23/$B$6)-B23-C23-D23-E23-F23-G23-H23-I23-J23&gt;=0.1,((($B23/$B$6)-$B23)/$B$7),0)</f>
        <v>0</v>
      </c>
    </row>
    <row r="24" spans="1:11" ht="12" hidden="1">
      <c r="A24" s="13" t="s">
        <v>94</v>
      </c>
      <c r="B24" s="113">
        <f>IF(AND(B2&gt;=0,B2&lt;=2000),(B2-1000)*B4*B6,1000*B4*B6)</f>
        <v>0</v>
      </c>
      <c r="C24" s="113">
        <f>IF(($B24/$B$6)-B24&gt;=0.1,((($B24/$B$6)-$B24)/$B$7),0)</f>
        <v>0</v>
      </c>
      <c r="D24" s="113">
        <f>IF(($B24/$B$6)-B24-C24&gt;=0.1,((($B24/$B$6)-$B24)/$B$7),0)</f>
        <v>0</v>
      </c>
      <c r="E24" s="113">
        <f>IF(($B24/$B$6)-B24-C24-D24&gt;=0.1,((($B24/$B$6)-$B24)/$B$7),0)</f>
        <v>0</v>
      </c>
      <c r="F24" s="113">
        <f>IF(($B24/$B$6)-B24-C24-D24-E24&gt;=0.1,((($B24/$B$6)-$B24)/$B$7),0)</f>
        <v>0</v>
      </c>
      <c r="G24" s="113">
        <f>IF(($B24/$B$6)-B24-C24-D24-E24-F24&gt;=0.1,((($B24/$B$6)-$B24)/$B$7),0)</f>
        <v>0</v>
      </c>
      <c r="H24" s="113">
        <f>IF(($B24/$B$6)-B24-C24-D24-E24-F24-G24&gt;=0.1,((($B24/$B$6)-$B24)/$B$7),0)</f>
        <v>0</v>
      </c>
      <c r="I24" s="113">
        <f>IF(($B24/$B$6)-B24-C24-D24-E24-F24-G24-H24&gt;=0.1,((($B24/$B$6)-$B24)/$B$7),0)</f>
        <v>0</v>
      </c>
      <c r="J24" s="113">
        <f>IF(($B24/$B$6)-B24-C24-D24-E24-F24-G24-H24-I24&gt;=0.1,((($B24/$B$6)-$B24)/$B$7),0)</f>
        <v>0</v>
      </c>
      <c r="K24" s="113">
        <f>IF(($B24/$B$6)-B24-C24-D24-E24-F24-G24-H24-I24-J24&gt;=0.1,((($B24/$B$6)-$B24)/$B$7),0)</f>
        <v>0</v>
      </c>
    </row>
    <row r="25" spans="1:11" ht="12" hidden="1">
      <c r="A25" s="13" t="s">
        <v>95</v>
      </c>
      <c r="B25" s="113">
        <f>IF(AND(B2&gt;=0,B2&lt;=3000),(B2-2000)*B5*B6,1000*B5*B6)</f>
        <v>0</v>
      </c>
      <c r="C25" s="113">
        <f>IF(($B25/$B$6)-B25&gt;=0.1,((($B25/$B$6)-$B25)/$B$7),0)</f>
        <v>0</v>
      </c>
      <c r="D25" s="113">
        <f>IF(($B25/$B$6)-B25-C25&gt;=0.1,((($B25/$B$6)-$B25)/$B$7),0)</f>
        <v>0</v>
      </c>
      <c r="E25" s="113">
        <f>IF(($B25/$B$6)-B25-C25-D25&gt;=0.1,((($B25/$B$6)-$B25)/$B$7),0)</f>
        <v>0</v>
      </c>
      <c r="F25" s="113">
        <f>IF(($B25/$B$6)-B25-C25-D25-E25&gt;=0.1,((($B25/$B$6)-$B25)/$B$7),0)</f>
        <v>0</v>
      </c>
      <c r="G25" s="113">
        <f>IF(($B25/$B$6)-B25-C25-D25-E25-F25&gt;=0.1,((($B25/$B$6)-$B25)/$B$7),0)</f>
        <v>0</v>
      </c>
      <c r="H25" s="113">
        <f>IF(($B25/$B$6)-B25-C25-D25-E25-F25-G25&gt;=0.1,((($B25/$B$6)-$B25)/$B$7),0)</f>
        <v>0</v>
      </c>
      <c r="I25" s="113">
        <f>IF(($B25/$B$6)-B25-C25-D25-E25-F25-G25-H25&gt;=0.1,((($B25/$B$6)-$B25)/$B$7),0)</f>
        <v>0</v>
      </c>
      <c r="J25" s="113">
        <f>IF(($B25/$B$6)-B25-C25-D25-E25-F25-G25-H25-I25&gt;=0.1,((($B25/$B$6)-$B25)/$B$7),0)</f>
        <v>0</v>
      </c>
      <c r="K25" s="113">
        <f>IF(($B25/$B$6)-B25-C25-D25-E25-F25-G25-H25-I25-J25&gt;=0.1,((($B25/$B$6)-$B25)/$B$7),0)</f>
        <v>0</v>
      </c>
    </row>
    <row r="26" spans="1:11" ht="12.75">
      <c r="A26" s="13" t="s">
        <v>96</v>
      </c>
      <c r="B26" s="12">
        <f aca="true" t="shared" si="4" ref="B26:K26">IF(B24&lt;=0,0,B24)+IF(B25&lt;=0,0,B25)+B23</f>
        <v>0</v>
      </c>
      <c r="C26" s="12">
        <f t="shared" si="4"/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</row>
    <row r="27" spans="1:11" ht="12.75">
      <c r="A27" t="s">
        <v>36</v>
      </c>
      <c r="B27" s="12">
        <f aca="true" t="shared" si="5" ref="B27:K27">IF($B$12="yes",(B26*0.2),0)</f>
        <v>0</v>
      </c>
      <c r="C27" s="12">
        <f t="shared" si="5"/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2">
        <f t="shared" si="5"/>
        <v>0</v>
      </c>
      <c r="I27" s="12">
        <f t="shared" si="5"/>
        <v>0</v>
      </c>
      <c r="J27" s="12">
        <f t="shared" si="5"/>
        <v>0</v>
      </c>
      <c r="K27" s="12">
        <f t="shared" si="5"/>
        <v>0</v>
      </c>
    </row>
    <row r="28" spans="1:4" ht="12.75">
      <c r="A28" t="s">
        <v>37</v>
      </c>
      <c r="B28" s="12">
        <f>((D1-SUM(B26:K27))*D4)</f>
        <v>0</v>
      </c>
      <c r="C28" s="12"/>
      <c r="D28" s="12"/>
    </row>
    <row r="29" spans="1:11" ht="12.75">
      <c r="A29" t="s">
        <v>38</v>
      </c>
      <c r="B29" s="16">
        <f>-$D$1+B18+B19+B20+B21+B22+B26+B27+B28</f>
        <v>-254174.34095</v>
      </c>
      <c r="C29" s="16">
        <f>C18+C19+C20+C26+C27+C28</f>
        <v>75035.85126696002</v>
      </c>
      <c r="D29" s="16">
        <f aca="true" t="shared" si="6" ref="D29:K29">D18+D19+D20+D26+D27+D28</f>
        <v>75853.98336764621</v>
      </c>
      <c r="E29" s="16">
        <f t="shared" si="6"/>
        <v>76680.13316291916</v>
      </c>
      <c r="F29" s="16">
        <f t="shared" si="6"/>
        <v>77514.37922618576</v>
      </c>
      <c r="G29" s="16">
        <f t="shared" si="6"/>
        <v>78356.80090087237</v>
      </c>
      <c r="H29" s="16">
        <f t="shared" si="6"/>
        <v>79207.47830797092</v>
      </c>
      <c r="I29" s="16">
        <f t="shared" si="6"/>
        <v>80066.49235365904</v>
      </c>
      <c r="J29" s="16">
        <f t="shared" si="6"/>
        <v>80933.9247369949</v>
      </c>
      <c r="K29" s="16">
        <f t="shared" si="6"/>
        <v>81809.85795768745</v>
      </c>
    </row>
    <row r="30" spans="1:11" ht="12.75">
      <c r="A30" t="s">
        <v>39</v>
      </c>
      <c r="B30" s="16">
        <f>B29</f>
        <v>-254174.34095</v>
      </c>
      <c r="C30" s="16">
        <f>B30+C29</f>
        <v>-179138.48968304</v>
      </c>
      <c r="D30" s="16">
        <f aca="true" t="shared" si="7" ref="D30:K30">C30+D29</f>
        <v>-103284.5063153938</v>
      </c>
      <c r="E30" s="16">
        <f t="shared" si="7"/>
        <v>-26604.37315247464</v>
      </c>
      <c r="F30" s="16">
        <f t="shared" si="7"/>
        <v>50910.00607371112</v>
      </c>
      <c r="G30" s="16">
        <f t="shared" si="7"/>
        <v>129266.8069745835</v>
      </c>
      <c r="H30" s="16">
        <f t="shared" si="7"/>
        <v>208474.2852825544</v>
      </c>
      <c r="I30" s="16">
        <f t="shared" si="7"/>
        <v>288540.77763621346</v>
      </c>
      <c r="J30" s="16">
        <f t="shared" si="7"/>
        <v>369474.70237320836</v>
      </c>
      <c r="K30" s="16">
        <f t="shared" si="7"/>
        <v>451284.5603308958</v>
      </c>
    </row>
    <row r="31" spans="2:11" ht="12.75">
      <c r="B31" s="17"/>
      <c r="C31" s="17"/>
      <c r="D31" s="18"/>
      <c r="E31" s="18"/>
      <c r="F31" s="18"/>
      <c r="G31" s="19"/>
      <c r="H31" s="19"/>
      <c r="I31" s="17"/>
      <c r="J31" s="17"/>
      <c r="K31" s="17"/>
    </row>
    <row r="32" spans="1:11" ht="12.75">
      <c r="A32" s="20" t="s">
        <v>40</v>
      </c>
      <c r="B32" s="21">
        <f>(NPV($B$8,C29:K29))+$B$29</f>
        <v>301017.4620361503</v>
      </c>
      <c r="C32" s="18"/>
      <c r="E32" s="18"/>
      <c r="F32" s="18"/>
      <c r="G32" s="19"/>
      <c r="H32" s="19"/>
      <c r="I32" s="17"/>
      <c r="J32" s="17"/>
      <c r="K32" s="17"/>
    </row>
    <row r="33" spans="1:11" ht="12.75">
      <c r="A33" s="22" t="s">
        <v>41</v>
      </c>
      <c r="B33" s="23">
        <f>IRR(B29:K29)</f>
        <v>0.2675770793741066</v>
      </c>
      <c r="C33" s="18"/>
      <c r="D33" s="18"/>
      <c r="E33" s="18"/>
      <c r="F33" s="24"/>
      <c r="G33" s="19"/>
      <c r="H33" s="19"/>
      <c r="I33" s="17"/>
      <c r="J33" s="17"/>
      <c r="K33" s="17"/>
    </row>
    <row r="34" spans="1:11" ht="12.75">
      <c r="A34" s="25" t="s">
        <v>42</v>
      </c>
      <c r="B34" s="26">
        <f>COUNTIF(B30:K30,"&lt;0")+1-INDEX(B30:K30,COUNTIF(B30:K30,"&lt;0")+1)/INDEX(B29:K29,COUNTIF(B30:K30,"&lt;0")+1)</f>
        <v>4.343218554003297</v>
      </c>
      <c r="C34" s="18"/>
      <c r="E34" s="18"/>
      <c r="F34" s="18"/>
      <c r="G34" s="19"/>
      <c r="H34" s="19"/>
      <c r="I34" s="17"/>
      <c r="J34" s="17"/>
      <c r="K34" s="17"/>
    </row>
    <row r="35" spans="1:12" ht="12.75">
      <c r="A35" s="3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7" ht="12.75">
      <c r="A36" s="29" t="s">
        <v>43</v>
      </c>
      <c r="F36" s="11"/>
      <c r="G36" s="11"/>
    </row>
    <row r="37" spans="1:12" ht="12.75">
      <c r="A37" s="20" t="s">
        <v>26</v>
      </c>
      <c r="B37" s="30">
        <v>2010</v>
      </c>
      <c r="C37" s="30">
        <v>2011</v>
      </c>
      <c r="D37" s="30">
        <v>2012</v>
      </c>
      <c r="E37" s="30">
        <v>2013</v>
      </c>
      <c r="F37" s="30">
        <v>2014</v>
      </c>
      <c r="G37" s="30">
        <v>2015</v>
      </c>
      <c r="H37" s="30">
        <v>2016</v>
      </c>
      <c r="I37" s="30">
        <v>2017</v>
      </c>
      <c r="J37" s="30">
        <v>2018</v>
      </c>
      <c r="K37" s="30">
        <v>2019</v>
      </c>
      <c r="L37" s="31">
        <v>2020</v>
      </c>
    </row>
    <row r="38" spans="1:12" ht="12.75">
      <c r="A38" s="2" t="s">
        <v>44</v>
      </c>
      <c r="B38" s="32">
        <v>6.2</v>
      </c>
      <c r="C38" s="32">
        <v>7.04</v>
      </c>
      <c r="D38" s="32">
        <v>7.24</v>
      </c>
      <c r="E38" s="32">
        <v>7.36</v>
      </c>
      <c r="F38" s="32">
        <v>7.5</v>
      </c>
      <c r="G38" s="32">
        <v>7.66</v>
      </c>
      <c r="H38" s="32">
        <v>7.81</v>
      </c>
      <c r="I38" s="32">
        <v>7.97</v>
      </c>
      <c r="J38" s="32">
        <v>8.13</v>
      </c>
      <c r="K38" s="32">
        <v>8.29</v>
      </c>
      <c r="L38" s="33">
        <v>8.45</v>
      </c>
    </row>
    <row r="39" spans="1:12" ht="12.75">
      <c r="A39" s="100" t="s">
        <v>45</v>
      </c>
      <c r="B39" s="105">
        <f>'Summary Page'!B27</f>
        <v>0.117969</v>
      </c>
      <c r="C39" s="105">
        <f aca="true" t="shared" si="8" ref="C39:L39">B39*(1+$B$10)</f>
        <v>0.12032838000000001</v>
      </c>
      <c r="D39" s="105">
        <f t="shared" si="8"/>
        <v>0.12273494760000002</v>
      </c>
      <c r="E39" s="105">
        <f t="shared" si="8"/>
        <v>0.12518964655200002</v>
      </c>
      <c r="F39" s="105">
        <f t="shared" si="8"/>
        <v>0.12769343948304002</v>
      </c>
      <c r="G39" s="105">
        <f t="shared" si="8"/>
        <v>0.1302473082727008</v>
      </c>
      <c r="H39" s="105">
        <f t="shared" si="8"/>
        <v>0.13285225443815482</v>
      </c>
      <c r="I39" s="105">
        <f t="shared" si="8"/>
        <v>0.13550929952691793</v>
      </c>
      <c r="J39" s="105">
        <f t="shared" si="8"/>
        <v>0.13821948551745628</v>
      </c>
      <c r="K39" s="105">
        <f t="shared" si="8"/>
        <v>0.1409838752278054</v>
      </c>
      <c r="L39" s="107">
        <f t="shared" si="8"/>
        <v>0.1438035527323615</v>
      </c>
    </row>
  </sheetData>
  <sheetProtection/>
  <dataValidations count="1">
    <dataValidation type="list" allowBlank="1" showInputMessage="1" showErrorMessage="1" sqref="B7">
      <formula1>$V$1:$V$9</formula1>
    </dataValidation>
  </dataValidations>
  <printOptions/>
  <pageMargins left="0.75" right="0.75" top="1" bottom="1" header="0.5" footer="0.5"/>
  <pageSetup horizontalDpi="600" verticalDpi="600" orientation="landscape" scale="49" r:id="rId3"/>
  <headerFooter alignWithMargins="0">
    <oddHeader xml:space="preserve">&amp;CSGIP Staff Proposal Financial Analysis Workbook, Page &amp;P </oddHeader>
  </headerFooter>
  <colBreaks count="1" manualBreakCount="1">
    <brk id="1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0.28125" style="0" bestFit="1" customWidth="1"/>
    <col min="2" max="2" width="24.8515625" style="0" bestFit="1" customWidth="1"/>
    <col min="3" max="3" width="25.421875" style="0" customWidth="1"/>
    <col min="4" max="4" width="12.28125" style="0" bestFit="1" customWidth="1"/>
    <col min="5" max="5" width="11.8515625" style="0" bestFit="1" customWidth="1"/>
    <col min="6" max="6" width="12.28125" style="0" bestFit="1" customWidth="1"/>
    <col min="7" max="7" width="11.57421875" style="0" bestFit="1" customWidth="1"/>
    <col min="8" max="8" width="12.57421875" style="0" bestFit="1" customWidth="1"/>
    <col min="9" max="9" width="11.57421875" style="0" bestFit="1" customWidth="1"/>
    <col min="10" max="10" width="12.00390625" style="0" bestFit="1" customWidth="1"/>
    <col min="11" max="11" width="11.28125" style="0" bestFit="1" customWidth="1"/>
    <col min="12" max="16" width="12.28125" style="0" bestFit="1" customWidth="1"/>
    <col min="17" max="17" width="12.57421875" style="0" bestFit="1" customWidth="1"/>
    <col min="18" max="18" width="12.00390625" style="0" bestFit="1" customWidth="1"/>
    <col min="19" max="19" width="12.28125" style="0" bestFit="1" customWidth="1"/>
    <col min="20" max="20" width="12.00390625" style="0" bestFit="1" customWidth="1"/>
    <col min="21" max="21" width="12.28125" style="0" bestFit="1" customWidth="1"/>
    <col min="22" max="22" width="0" style="0" hidden="1" customWidth="1"/>
  </cols>
  <sheetData>
    <row r="1" spans="1:22" ht="12.75">
      <c r="A1" s="38" t="s">
        <v>0</v>
      </c>
      <c r="B1" s="81" t="str">
        <f>'Summary Page'!A7</f>
        <v>Wind Turbine</v>
      </c>
      <c r="C1" s="38" t="s">
        <v>1</v>
      </c>
      <c r="D1" s="41">
        <f>(D2*B2)-B21</f>
        <v>3719001.89655172</v>
      </c>
      <c r="E1" s="65"/>
      <c r="F1" s="17"/>
      <c r="G1" s="17"/>
      <c r="H1" s="17"/>
      <c r="I1" s="17"/>
      <c r="J1" s="17"/>
      <c r="K1" s="17"/>
      <c r="L1" s="17"/>
      <c r="M1" s="17"/>
      <c r="N1" s="17"/>
      <c r="O1" s="17"/>
      <c r="V1" s="3">
        <v>1</v>
      </c>
    </row>
    <row r="2" spans="1:22" ht="12.75">
      <c r="A2" s="38" t="s">
        <v>3</v>
      </c>
      <c r="B2" s="42">
        <v>1200</v>
      </c>
      <c r="C2" s="38" t="s">
        <v>4</v>
      </c>
      <c r="D2" s="41">
        <f>VLOOKUP(B1,'Summary Page'!A7:K19,3,0)</f>
        <v>3095.5849137931</v>
      </c>
      <c r="E2" s="65"/>
      <c r="F2" s="17"/>
      <c r="G2" s="17"/>
      <c r="H2" s="17"/>
      <c r="I2" s="17"/>
      <c r="J2" s="17"/>
      <c r="K2" s="17"/>
      <c r="L2" s="17"/>
      <c r="M2" s="17"/>
      <c r="N2" s="17"/>
      <c r="O2" s="17"/>
      <c r="V2" s="3">
        <v>2</v>
      </c>
    </row>
    <row r="3" spans="1:22" ht="12.75">
      <c r="A3" s="38" t="s">
        <v>90</v>
      </c>
      <c r="B3" s="41">
        <f>VLOOKUP(B1,'Summary Page'!$A$7:$K$19,11,0)</f>
        <v>0</v>
      </c>
      <c r="C3" s="82" t="s">
        <v>6</v>
      </c>
      <c r="D3" s="83">
        <f>VLOOKUP(B1,'Summary Page'!A7:K19,4,0)</f>
        <v>0.0075</v>
      </c>
      <c r="E3" s="65"/>
      <c r="F3" s="17"/>
      <c r="G3" s="17"/>
      <c r="H3" s="17"/>
      <c r="I3" s="17"/>
      <c r="J3" s="17"/>
      <c r="K3" s="17"/>
      <c r="L3" s="17"/>
      <c r="M3" s="17"/>
      <c r="N3" s="17"/>
      <c r="O3" s="17"/>
      <c r="V3" s="3">
        <v>3</v>
      </c>
    </row>
    <row r="4" spans="1:22" ht="12.75">
      <c r="A4" s="38" t="s">
        <v>91</v>
      </c>
      <c r="B4" s="41">
        <f>(VLOOKUP(B1,'Summary Page'!$A$7:$K$19,11,0))*'Summary Page'!$B$39</f>
        <v>0</v>
      </c>
      <c r="C4" s="85" t="s">
        <v>8</v>
      </c>
      <c r="D4" s="86">
        <f>VLOOKUP(B1,'Summary Page'!A7:K19,5,0)</f>
        <v>0.3</v>
      </c>
      <c r="E4" s="66"/>
      <c r="F4" s="17"/>
      <c r="G4" s="17"/>
      <c r="H4" s="17"/>
      <c r="I4" s="17"/>
      <c r="J4" s="17"/>
      <c r="K4" s="17"/>
      <c r="L4" s="17"/>
      <c r="M4" s="17"/>
      <c r="N4" s="17"/>
      <c r="O4" s="17"/>
      <c r="V4" s="3">
        <v>4</v>
      </c>
    </row>
    <row r="5" spans="1:20" ht="12.75">
      <c r="A5" s="38" t="s">
        <v>92</v>
      </c>
      <c r="B5" s="41">
        <f>(VLOOKUP(B1,'Summary Page'!$A$7:$K$19,11,0))*'Summary Page'!$B$40</f>
        <v>0</v>
      </c>
      <c r="C5" s="40" t="s">
        <v>15</v>
      </c>
      <c r="D5" s="119">
        <f>'Summary Page'!B27</f>
        <v>0.117969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T5" s="3"/>
    </row>
    <row r="6" spans="1:20" ht="12.75">
      <c r="A6" s="39" t="s">
        <v>7</v>
      </c>
      <c r="B6" s="84">
        <f>'Summary Page'!B23</f>
        <v>0.25</v>
      </c>
      <c r="C6" s="38" t="s">
        <v>17</v>
      </c>
      <c r="D6" s="41">
        <f>'Summary Page'!B29</f>
        <v>1439.01615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T6" s="3"/>
    </row>
    <row r="7" spans="1:22" ht="12.75">
      <c r="A7" s="39" t="s">
        <v>9</v>
      </c>
      <c r="B7" s="91">
        <f>'Summary Page'!B24</f>
        <v>5</v>
      </c>
      <c r="C7" s="38" t="s">
        <v>19</v>
      </c>
      <c r="D7" s="42">
        <f>'Summary Page'!B34</f>
        <v>8760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V7" s="3">
        <v>7</v>
      </c>
    </row>
    <row r="8" spans="1:20" ht="12.75">
      <c r="A8" s="38" t="s">
        <v>12</v>
      </c>
      <c r="B8" s="43">
        <f>'Summary Page'!B26</f>
        <v>0.05</v>
      </c>
      <c r="D8" s="3"/>
      <c r="E8" s="17"/>
      <c r="F8" s="18"/>
      <c r="H8" s="17"/>
      <c r="I8" s="17"/>
      <c r="J8" s="17"/>
      <c r="K8" s="17"/>
      <c r="L8" s="17"/>
      <c r="M8" s="17"/>
      <c r="N8" s="17"/>
      <c r="O8" s="17"/>
      <c r="T8" s="3"/>
    </row>
    <row r="9" spans="1:20" ht="12.75">
      <c r="A9" s="38" t="s">
        <v>14</v>
      </c>
      <c r="B9" s="43">
        <f>'Summary Page'!B35</f>
        <v>0.01</v>
      </c>
      <c r="D9" s="113"/>
      <c r="E9" s="17"/>
      <c r="F9" s="17"/>
      <c r="H9" s="17"/>
      <c r="I9" s="17"/>
      <c r="J9" s="17"/>
      <c r="K9" s="17"/>
      <c r="L9" s="17"/>
      <c r="M9" s="17"/>
      <c r="N9" s="17"/>
      <c r="O9" s="17"/>
      <c r="T9" s="3"/>
    </row>
    <row r="10" spans="1:14" ht="12.75">
      <c r="A10" s="120" t="s">
        <v>16</v>
      </c>
      <c r="B10" s="43">
        <f>'Summary Page'!B28</f>
        <v>0.02</v>
      </c>
      <c r="D10" s="17"/>
      <c r="E10" s="17"/>
      <c r="F10" s="18"/>
      <c r="H10" s="17"/>
      <c r="I10" s="17"/>
      <c r="J10" s="17"/>
      <c r="K10" s="17"/>
      <c r="L10" s="17"/>
      <c r="M10" s="17"/>
      <c r="N10" s="17"/>
    </row>
    <row r="11" spans="1:15" ht="12.75">
      <c r="A11" s="120" t="s">
        <v>18</v>
      </c>
      <c r="B11" s="43">
        <f>VLOOKUP(B1,'Summary Page'!A7:K19,10,0)</f>
        <v>0.2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39" t="s">
        <v>22</v>
      </c>
      <c r="B12" s="89" t="str">
        <f>'Summary Page'!B25</f>
        <v>Yes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4:14" ht="12.75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5" spans="1:21" ht="12.75">
      <c r="A15" s="10" t="s">
        <v>26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  <c r="N15" s="10">
        <v>13</v>
      </c>
      <c r="O15" s="10">
        <v>14</v>
      </c>
      <c r="P15" s="10">
        <v>15</v>
      </c>
      <c r="Q15" s="10">
        <v>16</v>
      </c>
      <c r="R15" s="10">
        <v>17</v>
      </c>
      <c r="S15" s="10">
        <v>18</v>
      </c>
      <c r="T15" s="10">
        <v>19</v>
      </c>
      <c r="U15" s="10">
        <v>20</v>
      </c>
    </row>
    <row r="17" spans="1:21" ht="12.75">
      <c r="A17" t="s">
        <v>27</v>
      </c>
      <c r="B17" s="11">
        <f>B2*B11*D7</f>
        <v>2102400</v>
      </c>
      <c r="C17" s="11">
        <f aca="true" t="shared" si="0" ref="C17:U17">(B17)*(1-$B$9)</f>
        <v>2081376</v>
      </c>
      <c r="D17" s="11">
        <f t="shared" si="0"/>
        <v>2060562.24</v>
      </c>
      <c r="E17" s="11">
        <f t="shared" si="0"/>
        <v>2039956.6176</v>
      </c>
      <c r="F17" s="11">
        <f t="shared" si="0"/>
        <v>2019557.051424</v>
      </c>
      <c r="G17" s="11">
        <f t="shared" si="0"/>
        <v>1999361.4809097599</v>
      </c>
      <c r="H17" s="11">
        <f t="shared" si="0"/>
        <v>1979367.8661006622</v>
      </c>
      <c r="I17" s="11">
        <f t="shared" si="0"/>
        <v>1959574.1874396554</v>
      </c>
      <c r="J17" s="11">
        <f t="shared" si="0"/>
        <v>1939978.4455652589</v>
      </c>
      <c r="K17" s="11">
        <f t="shared" si="0"/>
        <v>1920578.6611096063</v>
      </c>
      <c r="L17" s="11">
        <f t="shared" si="0"/>
        <v>1901372.8744985103</v>
      </c>
      <c r="M17" s="11">
        <f t="shared" si="0"/>
        <v>1882359.1457535252</v>
      </c>
      <c r="N17" s="11">
        <f t="shared" si="0"/>
        <v>1863535.55429599</v>
      </c>
      <c r="O17" s="11">
        <f t="shared" si="0"/>
        <v>1844900.19875303</v>
      </c>
      <c r="P17" s="11">
        <f t="shared" si="0"/>
        <v>1826451.1967654997</v>
      </c>
      <c r="Q17" s="11">
        <f t="shared" si="0"/>
        <v>1808186.6847978446</v>
      </c>
      <c r="R17" s="11">
        <f t="shared" si="0"/>
        <v>1790104.8179498662</v>
      </c>
      <c r="S17" s="11">
        <f t="shared" si="0"/>
        <v>1772203.7697703675</v>
      </c>
      <c r="T17" s="11">
        <f t="shared" si="0"/>
        <v>1754481.732072664</v>
      </c>
      <c r="U17" s="11">
        <f t="shared" si="0"/>
        <v>1736936.9147519374</v>
      </c>
    </row>
    <row r="18" spans="1:22" ht="12.75">
      <c r="A18" t="s">
        <v>28</v>
      </c>
      <c r="B18" s="12">
        <f>B17*B38</f>
        <v>248018.02560000002</v>
      </c>
      <c r="C18" s="12">
        <f aca="true" t="shared" si="1" ref="C18:L18">C17*C38</f>
        <v>250448.60225088004</v>
      </c>
      <c r="D18" s="12">
        <f t="shared" si="1"/>
        <v>252902.99855293866</v>
      </c>
      <c r="E18" s="12">
        <f t="shared" si="1"/>
        <v>255381.44793875745</v>
      </c>
      <c r="F18" s="12">
        <f t="shared" si="1"/>
        <v>257884.18612855728</v>
      </c>
      <c r="G18" s="12">
        <f t="shared" si="1"/>
        <v>260411.4511526171</v>
      </c>
      <c r="H18" s="12">
        <f t="shared" si="1"/>
        <v>262963.48337391275</v>
      </c>
      <c r="I18" s="12">
        <f t="shared" si="1"/>
        <v>265540.5255109771</v>
      </c>
      <c r="J18" s="12">
        <f t="shared" si="1"/>
        <v>268142.82266098465</v>
      </c>
      <c r="K18" s="12">
        <f t="shared" si="1"/>
        <v>270770.62232306227</v>
      </c>
      <c r="L18" s="12">
        <f t="shared" si="1"/>
        <v>273424.1744218283</v>
      </c>
      <c r="M18" s="12">
        <f>M17*$L$38</f>
        <v>270689.93267761</v>
      </c>
      <c r="N18" s="12">
        <f aca="true" t="shared" si="2" ref="N18:U18">N17*$L$38</f>
        <v>267983.0333508339</v>
      </c>
      <c r="O18" s="12">
        <f t="shared" si="2"/>
        <v>265303.2030173256</v>
      </c>
      <c r="P18" s="12">
        <f t="shared" si="2"/>
        <v>262650.1709871523</v>
      </c>
      <c r="Q18" s="12">
        <f t="shared" si="2"/>
        <v>260023.66927728077</v>
      </c>
      <c r="R18" s="12">
        <f t="shared" si="2"/>
        <v>257423.43258450797</v>
      </c>
      <c r="S18" s="12">
        <f t="shared" si="2"/>
        <v>254849.1982586629</v>
      </c>
      <c r="T18" s="12">
        <f t="shared" si="2"/>
        <v>252300.7062760763</v>
      </c>
      <c r="U18" s="12">
        <f t="shared" si="2"/>
        <v>249777.69921331553</v>
      </c>
      <c r="V18" s="12">
        <f>V17*$D$5</f>
        <v>0</v>
      </c>
    </row>
    <row r="19" spans="1:21" ht="12.75">
      <c r="A19" t="s">
        <v>35</v>
      </c>
      <c r="B19" s="15">
        <f>-$B$17*$D$3</f>
        <v>-15768</v>
      </c>
      <c r="C19" s="15">
        <f aca="true" t="shared" si="3" ref="C19:U19">-$B$17*$D$3</f>
        <v>-15768</v>
      </c>
      <c r="D19" s="15">
        <f t="shared" si="3"/>
        <v>-15768</v>
      </c>
      <c r="E19" s="15">
        <f t="shared" si="3"/>
        <v>-15768</v>
      </c>
      <c r="F19" s="15">
        <f t="shared" si="3"/>
        <v>-15768</v>
      </c>
      <c r="G19" s="15">
        <f t="shared" si="3"/>
        <v>-15768</v>
      </c>
      <c r="H19" s="15">
        <f t="shared" si="3"/>
        <v>-15768</v>
      </c>
      <c r="I19" s="15">
        <f t="shared" si="3"/>
        <v>-15768</v>
      </c>
      <c r="J19" s="15">
        <f t="shared" si="3"/>
        <v>-15768</v>
      </c>
      <c r="K19" s="15">
        <f t="shared" si="3"/>
        <v>-15768</v>
      </c>
      <c r="L19" s="15">
        <f t="shared" si="3"/>
        <v>-15768</v>
      </c>
      <c r="M19" s="15">
        <f t="shared" si="3"/>
        <v>-15768</v>
      </c>
      <c r="N19" s="15">
        <f t="shared" si="3"/>
        <v>-15768</v>
      </c>
      <c r="O19" s="15">
        <f t="shared" si="3"/>
        <v>-15768</v>
      </c>
      <c r="P19" s="15">
        <f t="shared" si="3"/>
        <v>-15768</v>
      </c>
      <c r="Q19" s="15">
        <f t="shared" si="3"/>
        <v>-15768</v>
      </c>
      <c r="R19" s="15">
        <f t="shared" si="3"/>
        <v>-15768</v>
      </c>
      <c r="S19" s="15">
        <f t="shared" si="3"/>
        <v>-15768</v>
      </c>
      <c r="T19" s="15">
        <f t="shared" si="3"/>
        <v>-15768</v>
      </c>
      <c r="U19" s="15">
        <f t="shared" si="3"/>
        <v>-15768</v>
      </c>
    </row>
    <row r="20" spans="1:21" ht="12.75">
      <c r="A20" s="13" t="s">
        <v>78</v>
      </c>
      <c r="B20" s="15">
        <f>-$D$6</f>
        <v>-1439.01615</v>
      </c>
      <c r="C20" s="15">
        <f aca="true" t="shared" si="4" ref="C20:U20">-$D$6</f>
        <v>-1439.01615</v>
      </c>
      <c r="D20" s="15">
        <f t="shared" si="4"/>
        <v>-1439.01615</v>
      </c>
      <c r="E20" s="15">
        <f t="shared" si="4"/>
        <v>-1439.01615</v>
      </c>
      <c r="F20" s="15">
        <f t="shared" si="4"/>
        <v>-1439.01615</v>
      </c>
      <c r="G20" s="15">
        <f t="shared" si="4"/>
        <v>-1439.01615</v>
      </c>
      <c r="H20" s="15">
        <f t="shared" si="4"/>
        <v>-1439.01615</v>
      </c>
      <c r="I20" s="15">
        <f t="shared" si="4"/>
        <v>-1439.01615</v>
      </c>
      <c r="J20" s="15">
        <f t="shared" si="4"/>
        <v>-1439.01615</v>
      </c>
      <c r="K20" s="15">
        <f t="shared" si="4"/>
        <v>-1439.01615</v>
      </c>
      <c r="L20" s="15">
        <f t="shared" si="4"/>
        <v>-1439.01615</v>
      </c>
      <c r="M20" s="15">
        <f t="shared" si="4"/>
        <v>-1439.01615</v>
      </c>
      <c r="N20" s="15">
        <f t="shared" si="4"/>
        <v>-1439.01615</v>
      </c>
      <c r="O20" s="15">
        <f t="shared" si="4"/>
        <v>-1439.01615</v>
      </c>
      <c r="P20" s="15">
        <f t="shared" si="4"/>
        <v>-1439.01615</v>
      </c>
      <c r="Q20" s="15">
        <f t="shared" si="4"/>
        <v>-1439.01615</v>
      </c>
      <c r="R20" s="15">
        <f t="shared" si="4"/>
        <v>-1439.01615</v>
      </c>
      <c r="S20" s="15">
        <f t="shared" si="4"/>
        <v>-1439.01615</v>
      </c>
      <c r="T20" s="15">
        <f t="shared" si="4"/>
        <v>-1439.01615</v>
      </c>
      <c r="U20" s="15">
        <f t="shared" si="4"/>
        <v>-1439.01615</v>
      </c>
    </row>
    <row r="21" spans="1:21" ht="12.75">
      <c r="A21" s="13" t="s">
        <v>83</v>
      </c>
      <c r="B21" s="15">
        <f>-'Summary Page'!$B$30</f>
        <v>-4300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" hidden="1">
      <c r="A22" s="13" t="s">
        <v>93</v>
      </c>
      <c r="B22" s="113">
        <f>IF(B2&gt;=1000,1000*B3*B6,B2*B3*B6)</f>
        <v>0</v>
      </c>
      <c r="C22" s="113">
        <f>IF(($B22/$B6)-B22&gt;=0.1,((($B22/$B6)-$B22)/$B$7),0)</f>
        <v>0</v>
      </c>
      <c r="D22" s="113">
        <f>IF(($B22/$B$6)-B22-C22&gt;=0.1,((($B22/$B$6)-$B22)/$B$7),0)</f>
        <v>0</v>
      </c>
      <c r="E22" s="113">
        <f>IF(($B22/$B$6)-B22-C22-D22&gt;=0.1,((($B22/$B$6)-$B22)/$B$7),0)</f>
        <v>0</v>
      </c>
      <c r="F22" s="113">
        <f>IF(($B22/$B$6)-B22-C22-D22-E22&gt;=0.1,((($B22/$B$6)-$B22)/$B$7),0)</f>
        <v>0</v>
      </c>
      <c r="G22" s="113">
        <f>IF(($B22/$B$6)-B22-C22-D22-E22-F22&gt;=0.1,((($B22/$B$6)-$B22)/$B$7),0)</f>
        <v>0</v>
      </c>
      <c r="H22" s="113">
        <f>IF(($B22/$B$6)-B22-C22-D22-E22-F22-G22&gt;=0.1,((($B22/$B$6)-$B22)/$B$7),0)</f>
        <v>0</v>
      </c>
      <c r="I22" s="113">
        <f>IF(($B22/$B$6)-B22-C22-D22-E22-F22-G22-H22&gt;=0.1,((($B22/$B$6)-$B22)/$B$7),0)</f>
        <v>0</v>
      </c>
      <c r="J22" s="113">
        <f>IF(($B22/$B$6)-B22-C22-D22-E22-F22-G22-H22-I22&gt;=0.1,((($B22/$B$6)-$B22)/$B$7),0)</f>
        <v>0</v>
      </c>
      <c r="K22" s="113">
        <f>IF(($B22/$B$6)-B22-C22-D22-E22-F22-G22-H22-I22-J22&gt;=0.1,((($B22/$B$6)-$B22)/$B$7),0)</f>
        <v>0</v>
      </c>
      <c r="L22" s="113">
        <f>IF(($B22/$B$6)-B22-C22-D22-E22-F22-G22-H22-I22-J22-K22&gt;=0.1,((($B22/$B$6)-$B22)/$B$7),0)</f>
        <v>0</v>
      </c>
      <c r="M22" s="113">
        <f>IF(($B22/$B$6)-B22-C22-D22-E22-F22-G22-H22-I22-J22-K22-L22&gt;=0.1,((($B22/$B$6)-$B22)/$B$7),0)</f>
        <v>0</v>
      </c>
      <c r="N22" s="113">
        <f>IF(($B22/$B$6)-B22-C22-D22-E22-F22-G22-H22-I22-J22-K22-L22-M22&gt;=0.1,((($B22/$B$6)-$B22)/$B$7),0)</f>
        <v>0</v>
      </c>
      <c r="O22" s="113">
        <f>IF(($B22/$B$6)-B22-C22-D22-E22-F22-G22-H22-I22-J22-K22-L22-M22-N22&gt;=0.1,((($B22/$B$6)-$B22)/$B$7),0)</f>
        <v>0</v>
      </c>
      <c r="P22" s="113">
        <f>IF(($B22/$B$6)-B22-C22-D22-E22-F22-G22-H22-I22-J22-K22-L22-M22-N22-O22&gt;=0.1,((($B22/$B$6)-$B22)/$B$7),0)</f>
        <v>0</v>
      </c>
      <c r="Q22" s="113">
        <f>IF(($B22/$B$6)-B22-C22-D22-E22-F22-G22-H22-I22-J22-K22-L22-M22-N22-O22-P22&gt;=0.1,((($B22/$B$6)-$B22)/$B$7),0)</f>
        <v>0</v>
      </c>
      <c r="R22" s="113">
        <f>IF(($B22/$B$6)-B22-C22-D22-E22-F22-G22-H22-I22-J22-K22-L22-M22-N22-O22-P22-Q22&gt;=0.1,((($B22/$B$6)-$B22)/$B$7),0)</f>
        <v>0</v>
      </c>
      <c r="S22" s="113">
        <f>IF(($B22/$B$6)-B22-C22-D22-E22-F22-G22-H22-I22-J22-K22-L22-M22-N22-O22-P22-Q22-R22&gt;=0.1,((($B22/$B$6)-$B22)/$B$7),0)</f>
        <v>0</v>
      </c>
      <c r="T22" s="113">
        <f>IF(($B22/$B$6)-B22-C22-D22-E22-F22-G22-H22-I22-J22-K22-L22-M22-N22-O22-P22-Q22-R22-S22&gt;=0.1,((($B22/$B$6)-$B22)/$B$7),0)</f>
        <v>0</v>
      </c>
      <c r="U22" s="113">
        <f>IF(($B22/$B$6)-B22-C22-D22-E22-F22-G22-H22-I22-J22-K22-L22-M22-N22-O22-P22-Q22-R22-S22-T22&gt;=0.1,((($B22/$B$6)-$B22)/$B$7),0)</f>
        <v>0</v>
      </c>
    </row>
    <row r="23" spans="1:21" ht="12" hidden="1">
      <c r="A23" s="13" t="s">
        <v>94</v>
      </c>
      <c r="B23" s="113">
        <f>IF(AND(B2&gt;=0,B2&lt;=2000),(B2-1000)*B4*B6,1000*B4*B6)</f>
        <v>0</v>
      </c>
      <c r="C23" s="113">
        <f>IF(($B23/$B$6)-B23&gt;=0.1,((($B23/$B$6)-$B23)/$B$7),0)</f>
        <v>0</v>
      </c>
      <c r="D23" s="113">
        <f>IF(($B23/$B$6)-B23-C23&gt;=0.1,((($B23/$B$6)-$B23)/$B$7),0)</f>
        <v>0</v>
      </c>
      <c r="E23" s="113">
        <f>IF(($B23/$B$6)-B23-C23-D23&gt;=0.1,((($B23/$B$6)-$B23)/$B$7),0)</f>
        <v>0</v>
      </c>
      <c r="F23" s="113">
        <f>IF(($B23/$B$6)-B23-C23-D23-E23&gt;=0.1,((($B23/$B$6)-$B23)/$B$7),0)</f>
        <v>0</v>
      </c>
      <c r="G23" s="113">
        <f>IF(($B23/$B$6)-B23-C23-D23-E23-F23&gt;=0.1,((($B23/$B$6)-$B23)/$B$7),0)</f>
        <v>0</v>
      </c>
      <c r="H23" s="113">
        <f>IF(($B23/$B$6)-B23-C23-D23-E23-F23-G23&gt;=0.1,((($B23/$B$6)-$B23)/$B$7),0)</f>
        <v>0</v>
      </c>
      <c r="I23" s="113">
        <f>IF(($B23/$B$6)-B23-C23-D23-E23-F23-G23-H23&gt;=0.1,((($B23/$B$6)-$B23)/$B$7),0)</f>
        <v>0</v>
      </c>
      <c r="J23" s="113">
        <f>IF(($B23/$B$6)-B23-C23-D23-E23-F23-G23-H23-I23&gt;=0.1,((($B23/$B$6)-$B23)/$B$7),0)</f>
        <v>0</v>
      </c>
      <c r="K23" s="113">
        <f>IF(($B23/$B$6)-B23-C23-D23-E23-F23-G23-H23-I23-J23&gt;=0.1,((($B23/$B$6)-$B23)/$B$7),0)</f>
        <v>0</v>
      </c>
      <c r="L23" s="113">
        <f>IF(($B23/$B$6)-B23-C23-D23-E23-F23-G23-H23-I23-J23-K23&gt;=0.1,((($B23/$B$6)-$B23)/$B$7),0)</f>
        <v>0</v>
      </c>
      <c r="M23" s="113">
        <f>IF(($B23/$B$6)-B23-C23-D23-E23-F23-G23-H23-I23-J23-K23-L23&gt;=0.1,((($B23/$B$6)-$B23)/$B$7),0)</f>
        <v>0</v>
      </c>
      <c r="N23" s="113">
        <f>IF(($B23/$B$6)-B23-C23-D23-E23-F23-G23-H23-I23-J23-K23-L23-M23&gt;=0.1,((($B23/$B$6)-$B23)/$B$7),0)</f>
        <v>0</v>
      </c>
      <c r="O23" s="113">
        <f>IF(($B23/$B$6)-B23-C23-D23-E23-F23-G23-H23-I23-J23-K23-L23-M23-N23&gt;=0.1,((($B23/$B$6)-$B23)/$B$7),0)</f>
        <v>0</v>
      </c>
      <c r="P23" s="113">
        <f>IF(($B23/$B$6)-B23-C23-D23-E23-F23-G23-H23-I23-J23-K23-L23-M23-N23-O23&gt;=0.1,((($B23/$B$6)-$B23)/$B$7),0)</f>
        <v>0</v>
      </c>
      <c r="Q23" s="113">
        <f>IF(($B23/$B$6)-B23-C23-D23-E23-F23-G23-H23-I23-J23-K23-L23-M23-N23-O23-P23&gt;=0.1,((($B23/$B$6)-$B23)/$B$7),0)</f>
        <v>0</v>
      </c>
      <c r="R23" s="113">
        <f>IF(($B23/$B$6)-B23-C23-D23-E23-F23-G23-H23-I23-J23-K23-L23-M23-N23-O23-P23-Q23&gt;=0.1,((($B23/$B$6)-$B23)/$B$7),0)</f>
        <v>0</v>
      </c>
      <c r="S23" s="113">
        <f>IF(($B23/$B$6)-B23-C23-D23-E23-F23-G23-H23-I23-J23-K23-L23-M23-N23-O23-P23-Q23-R23&gt;=0.1,((($B23/$B$6)-$B23)/$B$7),0)</f>
        <v>0</v>
      </c>
      <c r="T23" s="113">
        <f>IF(($B23/$B$6)-B23-C23-D23-E23-F23-G23-H23-I23-J23-K23-L23-M23-N23-O23-P23-Q23-R23-S23&gt;=0.1,((($B23/$B$6)-$B23)/$B$7),0)</f>
        <v>0</v>
      </c>
      <c r="U23" s="113">
        <f>IF(($B23/$B$6)-B23-C23-D23-E23-F23-G23-H23-I23-J23-K23-L23-M23-N23-O23-P23-Q23-R23-S23-T23&gt;=0.1,((($B23/$B$6)-$B23)/$B$7),0)</f>
        <v>0</v>
      </c>
    </row>
    <row r="24" spans="1:21" ht="12" hidden="1">
      <c r="A24" s="13" t="s">
        <v>95</v>
      </c>
      <c r="B24" s="113">
        <f>IF(AND(B2&gt;=0,B2&lt;=3000),(B2-2000)*B5*B6,1000*B5*B6)</f>
        <v>0</v>
      </c>
      <c r="C24" s="113">
        <f>IF(($B24/$B$6)-B24&gt;=0.1,((($B24/$B$6)-$B24)/$B$7),0)</f>
        <v>0</v>
      </c>
      <c r="D24" s="113">
        <f>IF(($B24/$B$6)-B24-C24&gt;=0.1,((($B24/$B$6)-$B24)/$B$7),0)</f>
        <v>0</v>
      </c>
      <c r="E24" s="113">
        <f>IF(($B24/$B$6)-B24-C24-D24&gt;=0.1,((($B24/$B$6)-$B24)/$B$7),0)</f>
        <v>0</v>
      </c>
      <c r="F24" s="113">
        <f>IF(($B24/$B$6)-B24-C24-D24-E24&gt;=0.1,((($B24/$B$6)-$B24)/$B$7),0)</f>
        <v>0</v>
      </c>
      <c r="G24" s="113">
        <f>IF(($B24/$B$6)-B24-C24-D24-E24-F24&gt;=0.1,((($B24/$B$6)-$B24)/$B$7),0)</f>
        <v>0</v>
      </c>
      <c r="H24" s="113">
        <f>IF(($B24/$B$6)-B24-C24-D24-E24-F24-G24&gt;=0.1,((($B24/$B$6)-$B24)/$B$7),0)</f>
        <v>0</v>
      </c>
      <c r="I24" s="113">
        <f>IF(($B24/$B$6)-B24-C24-D24-E24-F24-G24-H24&gt;=0.1,((($B24/$B$6)-$B24)/$B$7),0)</f>
        <v>0</v>
      </c>
      <c r="J24" s="113">
        <f>IF(($B24/$B$6)-B24-C24-D24-E24-F24-G24-H24-I24&gt;=0.1,((($B24/$B$6)-$B24)/$B$7),0)</f>
        <v>0</v>
      </c>
      <c r="K24" s="113">
        <f>IF(($B24/$B$6)-B24-C24-D24-E24-F24-G24-H24-I24-J24&gt;=0.1,((($B24/$B$6)-$B24)/$B$7),0)</f>
        <v>0</v>
      </c>
      <c r="L24" s="113">
        <f>IF(($B24/$B$6)-B24-C24-D24-E24-F24-G24-H24-I24-J24-K24&gt;=0.1,((($B24/$B$6)-$B24)/$B$7),0)</f>
        <v>0</v>
      </c>
      <c r="M24" s="113">
        <f>IF(($B24/$B$6)-B24-C24-D24-E24-F24-G24-H24-I24-J24-K24-L24&gt;=0.1,((($B24/$B$6)-$B24)/$B$7),0)</f>
        <v>0</v>
      </c>
      <c r="N24" s="113">
        <f>IF(($B24/$B$6)-B24-C24-D24-E24-F24-G24-H24-I24-J24-K24-L24-M24&gt;=0.1,((($B24/$B$6)-$B24)/$B$7),0)</f>
        <v>0</v>
      </c>
      <c r="O24" s="113">
        <f>IF(($B24/$B$6)-B24-C24-D24-E24-F24-G24-H24-I24-J24-K24-L24-M24-N24&gt;=0.1,((($B24/$B$6)-$B24)/$B$7),0)</f>
        <v>0</v>
      </c>
      <c r="P24" s="113">
        <f>IF(($B24/$B$6)-B24-C24-D24-E24-F24-G24-H24-I24-J24-K24-L24-M24-N24-O24&gt;=0.1,((($B24/$B$6)-$B24)/$B$7),0)</f>
        <v>0</v>
      </c>
      <c r="Q24" s="113">
        <f>IF(($B24/$B$6)-B24-C24-D24-E24-F24-G24-H24-I24-J24-K24-L24-M24-N24-O24-P24&gt;=0.1,((($B24/$B$6)-$B24)/$B$7),0)</f>
        <v>0</v>
      </c>
      <c r="R24" s="113">
        <f>IF(($B24/$B$6)-B24-C24-D24-E24-F24-G24-H24-I24-J24-K24-L24-M24-N24-O24-P24-Q24&gt;=0.1,((($B24/$B$6)-$B24)/$B$7),0)</f>
        <v>0</v>
      </c>
      <c r="S24" s="113">
        <f>IF(($B24/$B$6)-B24-C24-D24-E24-F24-G24-H24-I24-J24-K24-L24-M24-N24-O24-P24-Q24-R24&gt;=0.1,((($B24/$B$6)-$B24)/$B$7),0)</f>
        <v>0</v>
      </c>
      <c r="T24" s="113">
        <f>IF(($B24/$B$6)-B24-C24-D24-E24-F24-G24-H24-I24-J24-K24-L24-M24-N24-O24-P24-Q24-R24-S24&gt;=0.1,((($B24/$B$6)-$B24)/$B$7),0)</f>
        <v>0</v>
      </c>
      <c r="U24" s="113">
        <f>IF(($B24/$B$6)-B24-C24-D24-E24-F24-G24-H24-I24-J24-K24-L24-M24-N24-O24-P24-Q24-R24-S24-T24&gt;=0.1,((($B24/$B$6)-$B24)/$B$7),0)</f>
        <v>0</v>
      </c>
    </row>
    <row r="25" spans="1:21" ht="12.75">
      <c r="A25" s="13" t="s">
        <v>96</v>
      </c>
      <c r="B25" s="12">
        <f aca="true" t="shared" si="5" ref="B25:K25">IF(B23&lt;=0,0,B23)+IF(B24&lt;=0,0,B24)+B22</f>
        <v>0</v>
      </c>
      <c r="C25" s="12">
        <f t="shared" si="5"/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2">
        <f>IF($B2*$B$5-$B$25-$C$25-$D$25-$E$25-$F$25-$G$25-$H$25-$I$25-$J$25-$K$25&gt;0,(($B2*$B$5-$B$25)/$B$7),0)</f>
        <v>0</v>
      </c>
      <c r="M25" s="12">
        <f>IF($B2*$B$5-$B$25-$C$25-$D$25-$E$25-$F$25-$G$25-$H$25-$I$25-$J$25-$K$25-$L$25&gt;0,(($B2*$B$5-$B$25)/$B$7),0)</f>
        <v>0</v>
      </c>
      <c r="N25" s="12">
        <f>IF($B2*$B$5-$B$25-$C$25-$D$25-$E$25-$F$25-$G$25-$H$25-$I$25-$J$25-$K$25-$L$25-$M$25&gt;0,(($B2*$B$5-$B$25)/$B$7),0)</f>
        <v>0</v>
      </c>
      <c r="O25" s="12">
        <f>IF($B2*$B$5-$B$25-$C$25-$D$25-$E$25-$F$25-$G$25-$H$25-$I$25-$J$25-$K$25-$L$25-$M$25-$N$35&gt;0,(($B2*$B$5-$B$25)/$B$7),0)</f>
        <v>0</v>
      </c>
      <c r="P25" s="12">
        <f>IF($B2*$B$5-$B$25-$C$25-$D$25-$E$25-$F$25-$G$25-$H$25-$I$25-$J$25-$K$25-$L$25-$M$25-$N$35-$O$25&gt;0,(($B2*$B$5-$B$25)/$B$7),0)</f>
        <v>0</v>
      </c>
      <c r="Q25" s="12">
        <f>IF($B2*$B$5-$B$25-$C$25-$D$25-$E$25-$F$25-$G$25-$H$25-$I$25-$J$25-$K$25-$L$25-$M$25-$N$35-$O$25-$P$25&gt;0,(($B2*$B$5-$B$25)/$B$7),0)</f>
        <v>0</v>
      </c>
      <c r="R25" s="12">
        <f>IF($B2*$B$5-$B$25-$C$25-$D$25-$E$25-$F$25-$G$25-$H$25-$I$25-$J$25-$K$25-$L$25-$M$25-$N$35-$O$25-$P$25-$O$8&gt;0,(($B2*$B$5-$B$25)/$B$7),0)</f>
        <v>0</v>
      </c>
      <c r="S25" s="12">
        <f>IF($B2*$B$5-$B$25-$C$25-$D$25-$E$25-$F$25-$G$25-$H$25-$I$25-$J$25-$K$25-$L$25-$M$25-$N$35-$O$25-$P$25-$Q$25-$R$25&gt;0,(($B2*$B$5-$B$25)/$B$7),0)</f>
        <v>0</v>
      </c>
      <c r="T25" s="12">
        <f>IF($B2*$B$5-$B$25-$C$25-$D$25-$E$25-$F$25-$G$25-$H$25-$I$25-$J$25-$K$25-$L$25-$M$25-$N$35-$O$25-$P$25-$Q$25-$R$25-$S$25&gt;0,(($B2*$B$5-$B$25)/$B$7),0)</f>
        <v>0</v>
      </c>
      <c r="U25" s="12">
        <f>IF($B2*$B$5-$B$25-$C$25-$D$25-$E$25-$F$25-$G$25-$H$25-$I$25-$J$25-$K$25-$L$25-$M$25-$N$35-$O$25-$P$25-$Q$25-$R$25-$S$25-$T$25&gt;0,(($B2*$B$5-$B$25)/$B$7),0)</f>
        <v>0</v>
      </c>
    </row>
    <row r="26" spans="1:22" ht="12.75">
      <c r="A26" t="s">
        <v>36</v>
      </c>
      <c r="B26" s="12">
        <f aca="true" t="shared" si="6" ref="B26:U26">IF($B$12="yes",(B25*0.2),0)</f>
        <v>0</v>
      </c>
      <c r="C26" s="12">
        <f t="shared" si="6"/>
        <v>0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2">
        <f t="shared" si="6"/>
        <v>0</v>
      </c>
      <c r="O26" s="12">
        <f t="shared" si="6"/>
        <v>0</v>
      </c>
      <c r="P26" s="12">
        <f t="shared" si="6"/>
        <v>0</v>
      </c>
      <c r="Q26" s="12">
        <f t="shared" si="6"/>
        <v>0</v>
      </c>
      <c r="R26" s="12">
        <f t="shared" si="6"/>
        <v>0</v>
      </c>
      <c r="S26" s="12">
        <f t="shared" si="6"/>
        <v>0</v>
      </c>
      <c r="T26" s="12">
        <f t="shared" si="6"/>
        <v>0</v>
      </c>
      <c r="U26" s="12">
        <f t="shared" si="6"/>
        <v>0</v>
      </c>
      <c r="V26" s="12" t="e">
        <f>IF(#REF!="yes",(V25*0.2),0)</f>
        <v>#REF!</v>
      </c>
    </row>
    <row r="27" spans="1:4" ht="12.75">
      <c r="A27" t="s">
        <v>37</v>
      </c>
      <c r="B27" s="12">
        <f>((D1-SUM(B25:K26))*D4)</f>
        <v>1115700.5689655158</v>
      </c>
      <c r="C27" s="12"/>
      <c r="D27" s="12"/>
    </row>
    <row r="28" spans="1:21" ht="12.75">
      <c r="A28" t="s">
        <v>38</v>
      </c>
      <c r="B28" s="16">
        <f>-$D$1+B18+B19+B20+B21+B25+B26+B27</f>
        <v>-2376790.318136204</v>
      </c>
      <c r="C28" s="16">
        <f>C18+C19+C20+C25+C26+C27</f>
        <v>233241.58610088003</v>
      </c>
      <c r="D28" s="16">
        <f aca="true" t="shared" si="7" ref="D28:U28">D18+D19+D20+D25+D26+D27</f>
        <v>235695.98240293865</v>
      </c>
      <c r="E28" s="16">
        <f t="shared" si="7"/>
        <v>238174.43178875744</v>
      </c>
      <c r="F28" s="16">
        <f t="shared" si="7"/>
        <v>240677.16997855727</v>
      </c>
      <c r="G28" s="16">
        <f t="shared" si="7"/>
        <v>243204.4350026171</v>
      </c>
      <c r="H28" s="16">
        <f t="shared" si="7"/>
        <v>245756.46722391274</v>
      </c>
      <c r="I28" s="16">
        <f t="shared" si="7"/>
        <v>248333.50936097707</v>
      </c>
      <c r="J28" s="16">
        <f t="shared" si="7"/>
        <v>250935.80651098464</v>
      </c>
      <c r="K28" s="16">
        <f t="shared" si="7"/>
        <v>253563.60617306226</v>
      </c>
      <c r="L28" s="16">
        <f t="shared" si="7"/>
        <v>256217.1582718283</v>
      </c>
      <c r="M28" s="16">
        <f t="shared" si="7"/>
        <v>253482.91652761</v>
      </c>
      <c r="N28" s="16">
        <f t="shared" si="7"/>
        <v>250776.0172008339</v>
      </c>
      <c r="O28" s="16">
        <f t="shared" si="7"/>
        <v>248096.1868673256</v>
      </c>
      <c r="P28" s="16">
        <f t="shared" si="7"/>
        <v>245443.1548371523</v>
      </c>
      <c r="Q28" s="16">
        <f t="shared" si="7"/>
        <v>242816.65312728076</v>
      </c>
      <c r="R28" s="16">
        <f t="shared" si="7"/>
        <v>240216.41643450796</v>
      </c>
      <c r="S28" s="16">
        <f t="shared" si="7"/>
        <v>237642.18210866288</v>
      </c>
      <c r="T28" s="16">
        <f t="shared" si="7"/>
        <v>235093.69012607628</v>
      </c>
      <c r="U28" s="16">
        <f t="shared" si="7"/>
        <v>232570.68306331552</v>
      </c>
    </row>
    <row r="29" spans="1:21" ht="12.75">
      <c r="A29" t="s">
        <v>39</v>
      </c>
      <c r="B29" s="16">
        <f>B28</f>
        <v>-2376790.318136204</v>
      </c>
      <c r="C29" s="16">
        <f>B29+C28</f>
        <v>-2143548.732035324</v>
      </c>
      <c r="D29" s="16">
        <f aca="true" t="shared" si="8" ref="D29:U29">C29+D28</f>
        <v>-1907852.7496323853</v>
      </c>
      <c r="E29" s="16">
        <f t="shared" si="8"/>
        <v>-1669678.3178436279</v>
      </c>
      <c r="F29" s="16">
        <f t="shared" si="8"/>
        <v>-1429001.1478650705</v>
      </c>
      <c r="G29" s="16">
        <f t="shared" si="8"/>
        <v>-1185796.7128624534</v>
      </c>
      <c r="H29" s="16">
        <f t="shared" si="8"/>
        <v>-940040.2456385407</v>
      </c>
      <c r="I29" s="16">
        <f t="shared" si="8"/>
        <v>-691706.7362775636</v>
      </c>
      <c r="J29" s="16">
        <f t="shared" si="8"/>
        <v>-440770.92976657895</v>
      </c>
      <c r="K29" s="16">
        <f t="shared" si="8"/>
        <v>-187207.3235935167</v>
      </c>
      <c r="L29" s="16">
        <f t="shared" si="8"/>
        <v>69009.8346783116</v>
      </c>
      <c r="M29" s="16">
        <f t="shared" si="8"/>
        <v>322492.75120592164</v>
      </c>
      <c r="N29" s="16">
        <f t="shared" si="8"/>
        <v>573268.7684067555</v>
      </c>
      <c r="O29" s="16">
        <f t="shared" si="8"/>
        <v>821364.9552740811</v>
      </c>
      <c r="P29" s="16">
        <f t="shared" si="8"/>
        <v>1066808.1101112333</v>
      </c>
      <c r="Q29" s="16">
        <f t="shared" si="8"/>
        <v>1309624.763238514</v>
      </c>
      <c r="R29" s="16">
        <f t="shared" si="8"/>
        <v>1549841.1796730221</v>
      </c>
      <c r="S29" s="16">
        <f t="shared" si="8"/>
        <v>1787483.361781685</v>
      </c>
      <c r="T29" s="16">
        <f t="shared" si="8"/>
        <v>2022577.0519077613</v>
      </c>
      <c r="U29" s="16">
        <f t="shared" si="8"/>
        <v>2255147.7349710767</v>
      </c>
    </row>
    <row r="30" spans="2:11" ht="12.75">
      <c r="B30" s="17"/>
      <c r="C30" s="17"/>
      <c r="D30" s="18"/>
      <c r="E30" s="18"/>
      <c r="F30" s="18"/>
      <c r="G30" s="19"/>
      <c r="H30" s="19"/>
      <c r="I30" s="17"/>
      <c r="J30" s="17"/>
      <c r="K30" s="17"/>
    </row>
    <row r="31" spans="1:11" ht="12.75">
      <c r="A31" s="20" t="s">
        <v>40</v>
      </c>
      <c r="B31" s="21">
        <f>(NPV($B$8,C28:U28))+$B$28</f>
        <v>567529.07690919</v>
      </c>
      <c r="C31" s="18"/>
      <c r="E31" s="18"/>
      <c r="F31" s="18"/>
      <c r="G31" s="19"/>
      <c r="H31" s="19"/>
      <c r="I31" s="17"/>
      <c r="J31" s="17"/>
      <c r="K31" s="17"/>
    </row>
    <row r="32" spans="1:11" ht="12.75">
      <c r="A32" s="22" t="s">
        <v>41</v>
      </c>
      <c r="B32" s="23">
        <f>IRR(B28:U28)</f>
        <v>0.0776843132110352</v>
      </c>
      <c r="C32" s="18"/>
      <c r="D32" s="18"/>
      <c r="E32" s="18"/>
      <c r="F32" s="24"/>
      <c r="G32" s="19"/>
      <c r="H32" s="19"/>
      <c r="I32" s="17"/>
      <c r="J32" s="17"/>
      <c r="K32" s="17"/>
    </row>
    <row r="33" spans="1:11" ht="12.75">
      <c r="A33" s="25" t="s">
        <v>42</v>
      </c>
      <c r="B33" s="26">
        <f>COUNTIF(B29:U29,"&lt;0")+1-INDEX(B29:U29,COUNTIF(B29:U29,"&lt;0")+1)/INDEX(B28:U28,COUNTIF(B29:U29,"&lt;0")+1)</f>
        <v>10.73065880855217</v>
      </c>
      <c r="C33" s="18"/>
      <c r="E33" s="18"/>
      <c r="F33" s="18"/>
      <c r="G33" s="19"/>
      <c r="H33" s="19"/>
      <c r="I33" s="17"/>
      <c r="J33" s="17"/>
      <c r="K33" s="17"/>
    </row>
    <row r="34" spans="1:11" ht="12.75">
      <c r="A34" s="27"/>
      <c r="B34" s="28"/>
      <c r="C34" s="18"/>
      <c r="E34" s="18"/>
      <c r="F34" s="18"/>
      <c r="G34" s="19"/>
      <c r="H34" s="19"/>
      <c r="I34" s="17"/>
      <c r="J34" s="17"/>
      <c r="K34" s="17"/>
    </row>
    <row r="35" spans="1:7" ht="12.75">
      <c r="A35" s="29" t="s">
        <v>43</v>
      </c>
      <c r="F35" s="11"/>
      <c r="G35" s="11"/>
    </row>
    <row r="36" spans="1:12" ht="12.75">
      <c r="A36" s="20" t="s">
        <v>26</v>
      </c>
      <c r="B36" s="30">
        <v>2010</v>
      </c>
      <c r="C36" s="30">
        <v>2011</v>
      </c>
      <c r="D36" s="30">
        <v>2012</v>
      </c>
      <c r="E36" s="30">
        <v>2013</v>
      </c>
      <c r="F36" s="30">
        <v>2014</v>
      </c>
      <c r="G36" s="30">
        <v>2015</v>
      </c>
      <c r="H36" s="30">
        <v>2016</v>
      </c>
      <c r="I36" s="30">
        <v>2017</v>
      </c>
      <c r="J36" s="30">
        <v>2018</v>
      </c>
      <c r="K36" s="30">
        <v>2019</v>
      </c>
      <c r="L36" s="31">
        <v>2020</v>
      </c>
    </row>
    <row r="37" spans="1:12" ht="12.75">
      <c r="A37" s="2" t="s">
        <v>44</v>
      </c>
      <c r="B37" s="32">
        <v>6.2</v>
      </c>
      <c r="C37" s="32">
        <v>7.04</v>
      </c>
      <c r="D37" s="32">
        <v>7.24</v>
      </c>
      <c r="E37" s="32">
        <v>7.36</v>
      </c>
      <c r="F37" s="32">
        <v>7.5</v>
      </c>
      <c r="G37" s="32">
        <v>7.66</v>
      </c>
      <c r="H37" s="32">
        <v>7.81</v>
      </c>
      <c r="I37" s="32">
        <v>7.97</v>
      </c>
      <c r="J37" s="32">
        <v>8.13</v>
      </c>
      <c r="K37" s="32">
        <v>8.29</v>
      </c>
      <c r="L37" s="33">
        <v>8.45</v>
      </c>
    </row>
    <row r="38" spans="1:12" ht="12.75">
      <c r="A38" s="100" t="s">
        <v>45</v>
      </c>
      <c r="B38" s="105">
        <f>'Summary Page'!B27</f>
        <v>0.117969</v>
      </c>
      <c r="C38" s="105">
        <f aca="true" t="shared" si="9" ref="C38:L38">B38*(1+$B$10)</f>
        <v>0.12032838000000001</v>
      </c>
      <c r="D38" s="105">
        <f t="shared" si="9"/>
        <v>0.12273494760000002</v>
      </c>
      <c r="E38" s="105">
        <f t="shared" si="9"/>
        <v>0.12518964655200002</v>
      </c>
      <c r="F38" s="105">
        <f t="shared" si="9"/>
        <v>0.12769343948304002</v>
      </c>
      <c r="G38" s="105">
        <f t="shared" si="9"/>
        <v>0.1302473082727008</v>
      </c>
      <c r="H38" s="105">
        <f t="shared" si="9"/>
        <v>0.13285225443815482</v>
      </c>
      <c r="I38" s="105">
        <f t="shared" si="9"/>
        <v>0.13550929952691793</v>
      </c>
      <c r="J38" s="105">
        <f t="shared" si="9"/>
        <v>0.13821948551745628</v>
      </c>
      <c r="K38" s="105">
        <f t="shared" si="9"/>
        <v>0.1409838752278054</v>
      </c>
      <c r="L38" s="107">
        <f t="shared" si="9"/>
        <v>0.1438035527323615</v>
      </c>
    </row>
  </sheetData>
  <sheetProtection/>
  <dataValidations count="1">
    <dataValidation type="list" allowBlank="1" showInputMessage="1" showErrorMessage="1" sqref="B7">
      <formula1>$V$1:$V$9</formula1>
    </dataValidation>
  </dataValidations>
  <printOptions/>
  <pageMargins left="0.75" right="0.75" top="1" bottom="1" header="0.5" footer="0.5"/>
  <pageSetup horizontalDpi="600" verticalDpi="600" orientation="landscape" scale="30" r:id="rId3"/>
  <headerFooter alignWithMargins="0">
    <oddHeader xml:space="preserve">&amp;CSGIP Staff Proposal Financial Analysis Workbook, Page &amp;P </oddHeader>
  </headerFooter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Rosie Magana</cp:lastModifiedBy>
  <cp:lastPrinted>2010-09-29T18:16:43Z</cp:lastPrinted>
  <dcterms:created xsi:type="dcterms:W3CDTF">2010-05-13T16:53:26Z</dcterms:created>
  <dcterms:modified xsi:type="dcterms:W3CDTF">2013-04-16T15:16:35Z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