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970" windowWidth="11955" windowHeight="3000" firstSheet="3" activeTab="5"/>
  </bookViews>
  <sheets>
    <sheet name="Oxygen Enrichment" sheetId="1" r:id="rId1"/>
    <sheet name="Moisture Reduction" sheetId="2" r:id="rId2"/>
    <sheet name="Wall Loss Savings" sheetId="3" r:id="rId3"/>
    <sheet name="Aluminum Preheat" sheetId="4" r:id="rId4"/>
    <sheet name="Steel Preheat" sheetId="5" r:id="rId5"/>
    <sheet name="Fixture Weight" sheetId="6" r:id="rId6"/>
    <sheet name="O2 Instructions" sheetId="7" r:id="rId7"/>
    <sheet name="Moisture Instructions)" sheetId="8" r:id="rId8"/>
    <sheet name="Wall Loss Instructions" sheetId="9" r:id="rId9"/>
    <sheet name="Aluminum Instructions" sheetId="10" r:id="rId10"/>
    <sheet name="Steel Instructions" sheetId="11" r:id="rId11"/>
    <sheet name="Fixture Instructions" sheetId="12" r:id="rId12"/>
  </sheets>
  <definedNames>
    <definedName name="_ftn1" localSheetId="9">'Aluminum Instructions'!#REF!</definedName>
    <definedName name="_ftn1" localSheetId="11">'Fixture Instructions'!#REF!</definedName>
    <definedName name="_ftn1" localSheetId="7">'Moisture Instructions)'!#REF!</definedName>
    <definedName name="_ftn1" localSheetId="6">'O2 Instructions'!#REF!</definedName>
    <definedName name="_ftn1" localSheetId="10">'Steel Instructions'!#REF!</definedName>
    <definedName name="_ftn1" localSheetId="8">'Wall Loss Instructions'!#REF!</definedName>
    <definedName name="_ftn2" localSheetId="9">'Aluminum Instructions'!#REF!</definedName>
    <definedName name="_ftn2" localSheetId="11">'Fixture Instructions'!#REF!</definedName>
    <definedName name="_ftn2" localSheetId="10">'Steel Instructions'!#REF!</definedName>
    <definedName name="_ftn2" localSheetId="8">'Wall Loss Instructions'!#REF!</definedName>
    <definedName name="_ftnref1" localSheetId="9">'Aluminum Instructions'!$B$13</definedName>
    <definedName name="_ftnref1" localSheetId="11">'Fixture Instructions'!$B$13</definedName>
    <definedName name="_ftnref1" localSheetId="7">'Moisture Instructions)'!$B$18</definedName>
    <definedName name="_ftnref1" localSheetId="6">'O2 Instructions'!$B$12</definedName>
    <definedName name="_ftnref1" localSheetId="10">'Steel Instructions'!$B$13</definedName>
    <definedName name="_ftnref1" localSheetId="8">'Wall Loss Instructions'!$B$12</definedName>
    <definedName name="_ftnref2" localSheetId="9">'Aluminum Instructions'!$B$20</definedName>
    <definedName name="_ftnref2" localSheetId="11">'Fixture Instructions'!$B$20</definedName>
    <definedName name="_ftnref2" localSheetId="10">'Steel Instructions'!$B$19</definedName>
    <definedName name="_ftnref2" localSheetId="8">'Wall Loss Instructions'!$B$19</definedName>
    <definedName name="OLE_LINK1" localSheetId="7">'Moisture Instructions)'!$B$9</definedName>
    <definedName name="OLE_LINK1" localSheetId="6">'O2 Instructions'!$B$3</definedName>
    <definedName name="_xlnm.Print_Area" localSheetId="9">'Aluminum Instructions'!$B$2:$B$34</definedName>
    <definedName name="_xlnm.Print_Area" localSheetId="3">'Aluminum Preheat'!$A$1:$E$40</definedName>
    <definedName name="_xlnm.Print_Area" localSheetId="11">'Fixture Instructions'!$B$2:$B$30</definedName>
    <definedName name="_xlnm.Print_Area" localSheetId="5">'Fixture Weight'!$A$1:$E$36</definedName>
    <definedName name="_xlnm.Print_Area" localSheetId="7">'Moisture Instructions)'!$B$2:$B$29</definedName>
    <definedName name="_xlnm.Print_Area" localSheetId="1">'Moisture Reduction'!$A$1:$E$35</definedName>
    <definedName name="_xlnm.Print_Area" localSheetId="6">'O2 Instructions'!$B$2:$B$22</definedName>
    <definedName name="_xlnm.Print_Area" localSheetId="0">'Oxygen Enrichment'!$A$1:$E$28</definedName>
    <definedName name="_xlnm.Print_Area" localSheetId="10">'Steel Instructions'!$B$2:$B$34</definedName>
    <definedName name="_xlnm.Print_Area" localSheetId="4">'Steel Preheat'!$A$1:$E$40</definedName>
    <definedName name="_xlnm.Print_Area" localSheetId="8">'Wall Loss Instructions'!$B$2:$B$28</definedName>
    <definedName name="_xlnm.Print_Area" localSheetId="2">'Wall Loss Savings'!$A$1:$E$35</definedName>
  </definedNames>
  <calcPr fullCalcOnLoad="1"/>
</workbook>
</file>

<file path=xl/comments1.xml><?xml version="1.0" encoding="utf-8"?>
<comments xmlns="http://schemas.openxmlformats.org/spreadsheetml/2006/main">
  <authors>
    <author> </author>
  </authors>
  <commentList>
    <comment ref="D15" authorId="0">
      <text>
        <r>
          <rPr>
            <sz val="10"/>
            <rFont val="Tahoma"/>
            <family val="2"/>
          </rPr>
          <t xml:space="preserve">21% is the approximate percentage of oxygen in air.
</t>
        </r>
      </text>
    </comment>
    <comment ref="D17" authorId="0">
      <text>
        <r>
          <rPr>
            <sz val="10"/>
            <rFont val="Tahoma"/>
            <family val="2"/>
          </rPr>
          <t>Available heat to the furnace equals total gas combustion heat value minus sensible and latent heat in the flue gases.  This is a function of the flue gas temperature and the fuel composition. (No excess air is assumed in the O2 enrichment calculation)</t>
        </r>
      </text>
    </comment>
    <comment ref="E17" authorId="0">
      <text>
        <r>
          <rPr>
            <sz val="10"/>
            <rFont val="Tahoma"/>
            <family val="2"/>
          </rPr>
          <t>This value differs from the available heat using standard air based on the heat contained in the avoided volume of flue gases when using enriched air.  This value is estimated using a curve fitted to the results of an equilibrium combustion model.</t>
        </r>
      </text>
    </comment>
    <comment ref="D16" authorId="0">
      <text>
        <r>
          <rPr>
            <sz val="10"/>
            <rFont val="Tahoma"/>
            <family val="2"/>
          </rPr>
          <t>Practical range between 200 and 3,000 degrees F.</t>
        </r>
        <r>
          <rPr>
            <sz val="14"/>
            <rFont val="Tahoma"/>
            <family val="0"/>
          </rPr>
          <t xml:space="preserve">
</t>
        </r>
      </text>
    </comment>
  </commentList>
</comments>
</file>

<file path=xl/comments2.xml><?xml version="1.0" encoding="utf-8"?>
<comments xmlns="http://schemas.openxmlformats.org/spreadsheetml/2006/main">
  <authors>
    <author> </author>
  </authors>
  <commentList>
    <comment ref="D16" authorId="0">
      <text>
        <r>
          <rPr>
            <sz val="10"/>
            <rFont val="Tahoma"/>
            <family val="2"/>
          </rPr>
          <t>Enter as a number and not as a fraction, e.g., 3 and not 0.03 for 3 
percent O2 in the flue gas.</t>
        </r>
      </text>
    </comment>
    <comment ref="D17" authorId="0">
      <text>
        <r>
          <rPr>
            <sz val="10"/>
            <rFont val="Tahoma"/>
            <family val="2"/>
          </rPr>
          <t>Excess air is a function of oxygen in the exhaust.  It is calculated here as a polynomial curve fit to the output of an equilibrium combustion model.</t>
        </r>
      </text>
    </comment>
    <comment ref="D18" authorId="0">
      <text>
        <r>
          <rPr>
            <sz val="10"/>
            <rFont val="Tahoma"/>
            <family val="2"/>
          </rPr>
          <t xml:space="preserve">Combustion air temp. is usually somewhat higher than ambient due to pick-up of heat from the blower motor.
</t>
        </r>
        <r>
          <rPr>
            <sz val="14"/>
            <rFont val="Tahoma"/>
            <family val="0"/>
          </rPr>
          <t xml:space="preserve">
</t>
        </r>
      </text>
    </comment>
    <comment ref="D22" authorId="0">
      <text>
        <r>
          <rPr>
            <sz val="10"/>
            <rFont val="Tahoma"/>
            <family val="2"/>
          </rPr>
          <t>Enter as a number and not as a fraction, e.g., 30 and not 0.3 for 30 
percent moisture in process feedstock.</t>
        </r>
      </text>
    </comment>
    <comment ref="E28" authorId="0">
      <text>
        <r>
          <rPr>
            <sz val="10"/>
            <rFont val="Tahoma"/>
            <family val="2"/>
          </rPr>
          <t xml:space="preserve">The difference in the heat required to heat and vaporize the water in the feedstock divided by the furnace available heat.
</t>
        </r>
        <r>
          <rPr>
            <sz val="14"/>
            <rFont val="Tahoma"/>
            <family val="0"/>
          </rPr>
          <t xml:space="preserve">
</t>
        </r>
      </text>
    </comment>
    <comment ref="D19" authorId="0">
      <text>
        <r>
          <rPr>
            <sz val="10"/>
            <rFont val="Tahoma"/>
            <family val="2"/>
          </rPr>
          <t xml:space="preserve">Available heat to the furnace equals total gas combustion heat value minus sensible and latent heat in the flue gases.  This is a function of the flue gas temperature, the fuel composition, and excess air. </t>
        </r>
      </text>
    </comment>
  </commentList>
</comments>
</file>

<file path=xl/comments3.xml><?xml version="1.0" encoding="utf-8"?>
<comments xmlns="http://schemas.openxmlformats.org/spreadsheetml/2006/main">
  <authors>
    <author> </author>
  </authors>
  <commentList>
    <comment ref="D16" authorId="0">
      <text>
        <r>
          <rPr>
            <sz val="10"/>
            <rFont val="Tahoma"/>
            <family val="2"/>
          </rPr>
          <t>Practical range between 200 and 3,000 degrees F.</t>
        </r>
        <r>
          <rPr>
            <sz val="14"/>
            <rFont val="Tahoma"/>
            <family val="0"/>
          </rPr>
          <t xml:space="preserve">
</t>
        </r>
      </text>
    </comment>
    <comment ref="D17" authorId="0">
      <text>
        <r>
          <rPr>
            <sz val="10"/>
            <rFont val="Tahoma"/>
            <family val="2"/>
          </rPr>
          <t>Enter as a number and not as a fraction, e.g., 3 and not 0.03 for 3 
percent O2 in the flue gas.</t>
        </r>
      </text>
    </comment>
    <comment ref="D18" authorId="0">
      <text>
        <r>
          <rPr>
            <sz val="10"/>
            <rFont val="Tahoma"/>
            <family val="2"/>
          </rPr>
          <t>Excess air is a function of oxygen in the exhaust.  It is calculated here as a polynomial curve fit to the output of an equilibrium combustion model.</t>
        </r>
      </text>
    </comment>
    <comment ref="D20" authorId="0">
      <text>
        <r>
          <rPr>
            <sz val="10"/>
            <rFont val="Tahoma"/>
            <family val="2"/>
          </rPr>
          <t xml:space="preserve">Combustion air temp. is usually somewhat higher than ambient due to pick-up of heat from the blower motor.
</t>
        </r>
        <r>
          <rPr>
            <sz val="14"/>
            <rFont val="Tahoma"/>
            <family val="0"/>
          </rPr>
          <t xml:space="preserve">
</t>
        </r>
      </text>
    </comment>
  </commentList>
</comments>
</file>

<file path=xl/comments4.xml><?xml version="1.0" encoding="utf-8"?>
<comments xmlns="http://schemas.openxmlformats.org/spreadsheetml/2006/main">
  <authors>
    <author> </author>
  </authors>
  <commentList>
    <comment ref="D17" authorId="0">
      <text>
        <r>
          <rPr>
            <sz val="10"/>
            <rFont val="Tahoma"/>
            <family val="2"/>
          </rPr>
          <t>Initial temperature exiting the furnace, not the final temperature after any combustion air or charge preheat</t>
        </r>
      </text>
    </comment>
    <comment ref="D19" authorId="0">
      <text>
        <r>
          <rPr>
            <sz val="10"/>
            <rFont val="Tahoma"/>
            <family val="2"/>
          </rPr>
          <t>Enter as a number and not as a fraction, e.g., 3 and not 0.03 for 3 
percent O2 in the flue gas.</t>
        </r>
      </text>
    </comment>
    <comment ref="D21" authorId="0">
      <text>
        <r>
          <rPr>
            <sz val="10"/>
            <rFont val="Tahoma"/>
            <family val="2"/>
          </rPr>
          <t xml:space="preserve">Available heat to the furnace equals total gas combustion heat value minus sensible and latent heat in the flue gases.  This is a function of the flue gas temperature, the fuel composition, and excess air. </t>
        </r>
      </text>
    </comment>
    <comment ref="D27" authorId="0">
      <text>
        <r>
          <rPr>
            <sz val="10"/>
            <rFont val="Tahoma"/>
            <family val="2"/>
          </rPr>
          <t xml:space="preserve">= Total heat required less flue losses less heat in the melt  --- assumed to remain constant </t>
        </r>
      </text>
    </comment>
  </commentList>
</comments>
</file>

<file path=xl/comments5.xml><?xml version="1.0" encoding="utf-8"?>
<comments xmlns="http://schemas.openxmlformats.org/spreadsheetml/2006/main">
  <authors>
    <author> </author>
  </authors>
  <commentList>
    <comment ref="D17" authorId="0">
      <text>
        <r>
          <rPr>
            <sz val="10"/>
            <rFont val="Tahoma"/>
            <family val="2"/>
          </rPr>
          <t xml:space="preserve">Flue gas temperature after combustion air preheat
</t>
        </r>
        <r>
          <rPr>
            <sz val="14"/>
            <rFont val="Tahoma"/>
            <family val="0"/>
          </rPr>
          <t xml:space="preserve">
</t>
        </r>
      </text>
    </comment>
    <comment ref="D19" authorId="0">
      <text>
        <r>
          <rPr>
            <sz val="10"/>
            <rFont val="Tahoma"/>
            <family val="2"/>
          </rPr>
          <t>Enter as a number and not as a fraction, e.g., 3 and not 0.03 for 3 
percent O2 in the flue gas.</t>
        </r>
      </text>
    </comment>
    <comment ref="D21" authorId="0">
      <text>
        <r>
          <rPr>
            <sz val="10"/>
            <rFont val="Tahoma"/>
            <family val="2"/>
          </rPr>
          <t xml:space="preserve">Available heat to the furnace equals total gas combustion heat value minus sensible and latent heat in the flue gases.  This is a function of the flue gas temperature, the fuel composition, and excess air. </t>
        </r>
      </text>
    </comment>
  </commentList>
</comments>
</file>

<file path=xl/comments6.xml><?xml version="1.0" encoding="utf-8"?>
<comments xmlns="http://schemas.openxmlformats.org/spreadsheetml/2006/main">
  <authors>
    <author> </author>
  </authors>
  <commentList>
    <comment ref="D16" authorId="0">
      <text>
        <r>
          <rPr>
            <sz val="10"/>
            <rFont val="Tahoma"/>
            <family val="2"/>
          </rPr>
          <t>Enter as a number and not as a fraction, e.g., 3 and not 0.03 for 3 
percent O2 in the flue gas.</t>
        </r>
      </text>
    </comment>
    <comment ref="D17" authorId="0">
      <text>
        <r>
          <rPr>
            <sz val="10"/>
            <rFont val="Tahoma"/>
            <family val="2"/>
          </rPr>
          <t>Excess air is a function of oxygen in the exhaust.  It is calculated here as a polynomial curve fit to the output of an equilibrium combustion model.</t>
        </r>
      </text>
    </comment>
    <comment ref="D18" authorId="0">
      <text>
        <r>
          <rPr>
            <sz val="10"/>
            <rFont val="Tahoma"/>
            <family val="2"/>
          </rPr>
          <t xml:space="preserve">Combustion air temp. is usually somewhat higher than ambient due to pick-up of heat from the blower motor.
</t>
        </r>
        <r>
          <rPr>
            <sz val="14"/>
            <rFont val="Tahoma"/>
            <family val="0"/>
          </rPr>
          <t xml:space="preserve">
</t>
        </r>
      </text>
    </comment>
    <comment ref="E29" authorId="0">
      <text>
        <r>
          <rPr>
            <sz val="10"/>
            <rFont val="Tahoma"/>
            <family val="2"/>
          </rPr>
          <t xml:space="preserve">EFLH x (exit temp - initial temp) x (weight1 x Cp1 -Weight2 x CP2)/Available heat to furnace
units corrected to therms/year from Btu/year
</t>
        </r>
        <r>
          <rPr>
            <sz val="14"/>
            <rFont val="Tahoma"/>
            <family val="0"/>
          </rPr>
          <t xml:space="preserve">
</t>
        </r>
      </text>
    </comment>
    <comment ref="D19" authorId="0">
      <text>
        <r>
          <rPr>
            <sz val="10"/>
            <rFont val="Tahoma"/>
            <family val="2"/>
          </rPr>
          <t xml:space="preserve">Available heat to the furnace equals total gas combustion heat value minus sensible and latent heat in the flue gases.  This is a function of the flue gas temperature, the fuel composition, and excess air. </t>
        </r>
      </text>
    </comment>
    <comment ref="D24" authorId="0">
      <text>
        <r>
          <rPr>
            <sz val="10"/>
            <rFont val="Tahoma"/>
            <family val="2"/>
          </rPr>
          <t>Select from dropdown list</t>
        </r>
        <r>
          <rPr>
            <sz val="14"/>
            <rFont val="Tahoma"/>
            <family val="0"/>
          </rPr>
          <t xml:space="preserve">
</t>
        </r>
      </text>
    </comment>
    <comment ref="E24" authorId="0">
      <text>
        <r>
          <rPr>
            <sz val="10"/>
            <rFont val="Tahoma"/>
            <family val="2"/>
          </rPr>
          <t>Select from dropdown list</t>
        </r>
        <r>
          <rPr>
            <sz val="14"/>
            <rFont val="Tahoma"/>
            <family val="0"/>
          </rPr>
          <t xml:space="preserve">
</t>
        </r>
      </text>
    </comment>
  </commentList>
</comments>
</file>

<file path=xl/sharedStrings.xml><?xml version="1.0" encoding="utf-8"?>
<sst xmlns="http://schemas.openxmlformats.org/spreadsheetml/2006/main" count="610" uniqueCount="277">
  <si>
    <t>Parameter</t>
  </si>
  <si>
    <t>Scenario</t>
  </si>
  <si>
    <t>Enter result from Report tab of Load Balance Program</t>
  </si>
  <si>
    <t>Base</t>
  </si>
  <si>
    <t>Equipment Load and Annual Use Calculation</t>
  </si>
  <si>
    <t>Gas Savings Rate and Annual Gas Savings</t>
  </si>
  <si>
    <t>Stoichiometric Available Heat Calc</t>
  </si>
  <si>
    <t>Excess Air Adjustment</t>
  </si>
  <si>
    <t>Combustion Air Preheat Adjustment</t>
  </si>
  <si>
    <t>Final Available Heat Numbers</t>
  </si>
  <si>
    <t>Source: Arvind Thekdi, EC3M</t>
  </si>
  <si>
    <t>Calc Table: Do Not Delete</t>
  </si>
  <si>
    <t>Verify customer data matches Load Balance Program</t>
  </si>
  <si>
    <t>Baseline</t>
  </si>
  <si>
    <t>Efficiency Measure</t>
  </si>
  <si>
    <t>Connected load (MBtuh)</t>
  </si>
  <si>
    <t>Operating time (hrs/yr)</t>
  </si>
  <si>
    <t>Load factor</t>
  </si>
  <si>
    <t>Equivalent full load hours (hrs/yr)</t>
  </si>
  <si>
    <t>Annual gas use (therms/yr)</t>
  </si>
  <si>
    <t xml:space="preserve">Excess air (%) </t>
  </si>
  <si>
    <t xml:space="preserve">Gas savings (%) </t>
  </si>
  <si>
    <t>New Gas Use (therms/year)</t>
  </si>
  <si>
    <t>Source: Calculation methodology provided by Arvind Thekdi, E3M, Inc.</t>
  </si>
  <si>
    <t xml:space="preserve">   Gas Savings Calculation</t>
  </si>
  <si>
    <t>Annual Dollar Savings</t>
  </si>
  <si>
    <t>Annual Savings ($/year)</t>
  </si>
  <si>
    <t>Gas Rate ($/therm)</t>
  </si>
  <si>
    <t>Customer Gas Rate</t>
  </si>
  <si>
    <t>Annual Gas Cost Savings (Optional Calculation)</t>
  </si>
  <si>
    <r>
      <t>1.</t>
    </r>
    <r>
      <rPr>
        <sz val="7"/>
        <rFont val="Times New Roman"/>
        <family val="1"/>
      </rPr>
      <t xml:space="preserve">      </t>
    </r>
    <r>
      <rPr>
        <sz val="11"/>
        <rFont val="Times New Roman"/>
        <family val="1"/>
      </rPr>
      <t>Input: Equipment rating or connected load (MBtu/hr) is provided by the customer (for screening purposes) this information may be available for customers using the MAS database.</t>
    </r>
  </si>
  <si>
    <r>
      <t>2.</t>
    </r>
    <r>
      <rPr>
        <sz val="7"/>
        <rFont val="Times New Roman"/>
        <family val="1"/>
      </rPr>
      <t xml:space="preserve">      </t>
    </r>
    <r>
      <rPr>
        <sz val="11"/>
        <rFont val="Times New Roman"/>
        <family val="1"/>
      </rPr>
      <t xml:space="preserve">Input: Equipment usage rate (hours/year)  -- to be taken from the </t>
    </r>
    <r>
      <rPr>
        <i/>
        <sz val="11"/>
        <rFont val="Times New Roman"/>
        <family val="1"/>
      </rPr>
      <t>Load Balance Tool</t>
    </r>
  </si>
  <si>
    <r>
      <t>3.</t>
    </r>
    <r>
      <rPr>
        <sz val="7"/>
        <rFont val="Times New Roman"/>
        <family val="1"/>
      </rPr>
      <t xml:space="preserve">      </t>
    </r>
    <r>
      <rPr>
        <sz val="11"/>
        <rFont val="Times New Roman"/>
        <family val="1"/>
      </rPr>
      <t xml:space="preserve">Input: Equipment load factor in use (percent ) – to be taken from the </t>
    </r>
    <r>
      <rPr>
        <i/>
        <sz val="11"/>
        <rFont val="Times New Roman"/>
        <family val="1"/>
      </rPr>
      <t>Load Balance Tool</t>
    </r>
  </si>
  <si>
    <r>
      <t>4.</t>
    </r>
    <r>
      <rPr>
        <sz val="7"/>
        <rFont val="Times New Roman"/>
        <family val="1"/>
      </rPr>
      <t xml:space="preserve">      </t>
    </r>
    <r>
      <rPr>
        <sz val="11"/>
        <rFont val="Times New Roman"/>
        <family val="1"/>
      </rPr>
      <t>Calc: Equivalent full load hours = (Line 2) x (Line 3).</t>
    </r>
  </si>
  <si>
    <r>
      <t>5.</t>
    </r>
    <r>
      <rPr>
        <sz val="7"/>
        <rFont val="Times New Roman"/>
        <family val="1"/>
      </rPr>
      <t xml:space="preserve">      </t>
    </r>
    <r>
      <rPr>
        <sz val="11"/>
        <rFont val="Times New Roman"/>
        <family val="1"/>
      </rPr>
      <t>Calc.:  Annual gas consumption = (Line 4) x (Line 1) x MBtu/therm conversion</t>
    </r>
  </si>
  <si>
    <t>Notes:</t>
  </si>
  <si>
    <r>
      <t>7.</t>
    </r>
    <r>
      <rPr>
        <sz val="7"/>
        <rFont val="Times New Roman"/>
        <family val="1"/>
      </rPr>
      <t xml:space="preserve">      </t>
    </r>
    <r>
      <rPr>
        <sz val="11"/>
        <rFont val="Times New Roman"/>
        <family val="1"/>
      </rPr>
      <t>Input: Oxygen percent in the flue gas (% dry basis) – a customer supplied input.</t>
    </r>
  </si>
  <si>
    <r>
      <t>17.</t>
    </r>
    <r>
      <rPr>
        <sz val="7"/>
        <rFont val="Times New Roman"/>
        <family val="1"/>
      </rPr>
      <t xml:space="preserve">  </t>
    </r>
    <r>
      <rPr>
        <sz val="11"/>
        <rFont val="Times New Roman"/>
        <family val="1"/>
      </rPr>
      <t>Input: gas rate ($/therm) – Customer gas rate—avoided commodity and delivery rate.</t>
    </r>
  </si>
  <si>
    <t>8.      Calc.: Excess air is a function of Oxygen in the exhaust (Line 7).  This is function is a polynomial curve fit to the output of a combustion equilibrium model.</t>
  </si>
  <si>
    <t>Oxygen Enrichment</t>
  </si>
  <si>
    <t>Furnace Conditions and Oxygen Ratio</t>
  </si>
  <si>
    <t>Flue gas temp. (F)</t>
  </si>
  <si>
    <t>Standard Air</t>
  </si>
  <si>
    <t>Enriched Air</t>
  </si>
  <si>
    <t>Furnace Available Heat %</t>
  </si>
  <si>
    <t>Oxygen in Combustion Air (%)</t>
  </si>
  <si>
    <t>Customer Input: Both cases to be set the same</t>
  </si>
  <si>
    <t>Wall Surface temperature (F)</t>
  </si>
  <si>
    <t>% Oxygen in flue gases</t>
  </si>
  <si>
    <t>Combustion air temp. (F)</t>
  </si>
  <si>
    <t>Furnace Conditions</t>
  </si>
  <si>
    <t>Furnace Wall Losses</t>
  </si>
  <si>
    <t>Furnace Wall Area and Temperature</t>
  </si>
  <si>
    <t>Ambient temperature (F)</t>
  </si>
  <si>
    <t>New</t>
  </si>
  <si>
    <t>Charge Initial temp (F)</t>
  </si>
  <si>
    <t>Heat in melt Btu/#</t>
  </si>
  <si>
    <t>Temp.</t>
  </si>
  <si>
    <t>Heat content</t>
  </si>
  <si>
    <t>melt temp</t>
  </si>
  <si>
    <t xml:space="preserve">Cp for liquid </t>
  </si>
  <si>
    <t>Superheat temp</t>
  </si>
  <si>
    <t xml:space="preserve">Formula </t>
  </si>
  <si>
    <t>Solid al.</t>
  </si>
  <si>
    <t>Cp for solid</t>
  </si>
  <si>
    <t>Heat of melting (Btu/#)</t>
  </si>
  <si>
    <t>Final steel temp. (F)</t>
  </si>
  <si>
    <t>Current O2 in flue gases (%)</t>
  </si>
  <si>
    <t>Cp between 1700 and 2400 F)</t>
  </si>
  <si>
    <t>Steel Input and Output Conditions</t>
  </si>
  <si>
    <t>Annual production (tons/yr)</t>
  </si>
  <si>
    <t>Aluminum Input and Output Conditions</t>
  </si>
  <si>
    <t>Input: Customer Gas Rate</t>
  </si>
  <si>
    <t>Customer Input: Oxygen enrichment percent in right column</t>
  </si>
  <si>
    <t>Current</t>
  </si>
  <si>
    <t>Charge Material Weight and Moisture Conditions</t>
  </si>
  <si>
    <t xml:space="preserve">Water Content (Lbs/hr) </t>
  </si>
  <si>
    <t>Moisture content (%)</t>
  </si>
  <si>
    <t>Total weight (lbs/hr)</t>
  </si>
  <si>
    <t>Temperature at Furnace Entrance (F)</t>
  </si>
  <si>
    <t xml:space="preserve">Per lb. of water basis </t>
  </si>
  <si>
    <t xml:space="preserve">New </t>
  </si>
  <si>
    <t>Specific heat of water vapor (Btu/lb. F)</t>
  </si>
  <si>
    <t>Gas engineer handbook</t>
  </si>
  <si>
    <t>Latent heat of water @ atmospheric pressure (Btu/lb)</t>
  </si>
  <si>
    <t>Steam tables</t>
  </si>
  <si>
    <t>Heat required to bring water to boiling (Btu/lb.)</t>
  </si>
  <si>
    <t>Heat content of water vapor (Btu/lb.)</t>
  </si>
  <si>
    <t>Total heat  required for water and vapor (Btu/lb.)</t>
  </si>
  <si>
    <t>Calc.: ((5) old gas use-(10) new gas use)/(5) old gas use</t>
  </si>
  <si>
    <t>Calc.: (5) - (10)</t>
  </si>
  <si>
    <t>Calc.:  (2) operating hours x  (3) load factor</t>
  </si>
  <si>
    <t>Calc.: (12) gas rate x (11) gas savings</t>
  </si>
  <si>
    <t>Oxygen in Flue gas (% dry basis)</t>
  </si>
  <si>
    <t>Calc.: Fitted function of Oxygen in flue (7)</t>
  </si>
  <si>
    <t>Customer Input:  This is the basis of the savings.</t>
  </si>
  <si>
    <t>Calc.: Total weight (11) x Percent H20 (12)</t>
  </si>
  <si>
    <t>Calc.: See workpaper</t>
  </si>
  <si>
    <t>Available Heat to the Furnace</t>
  </si>
  <si>
    <t>Feedstock Moisture Reduction</t>
  </si>
  <si>
    <t>Calc.: Heat loss difference  x surface area x EFLH</t>
  </si>
  <si>
    <t>Calc.: Initial Gas Use (5) - Gas savings (17)</t>
  </si>
  <si>
    <t>Calc.: Gas savings (17) / Initial Gas use (5)</t>
  </si>
  <si>
    <t>Calc.: Gas savings (17) x Gas Rate (18)</t>
  </si>
  <si>
    <t>Calc.: Gas savings (16) / Initial Gas use (5)</t>
  </si>
  <si>
    <t>Calc.: Gas savings (16) x Gas Rate (17)</t>
  </si>
  <si>
    <t>Calc (5) gas use /  (6) production (w unit conversions)</t>
  </si>
  <si>
    <t>Final Molten Aluminum temp. (F)</t>
  </si>
  <si>
    <t>Aluminum Melting Charge Preheat</t>
  </si>
  <si>
    <t>O2 in flue gas (% dry basis)</t>
  </si>
  <si>
    <t>Calc.: Fitted function of Oxygen in flue (10)</t>
  </si>
  <si>
    <t>Calc.: See workpaper, Available heat calculation</t>
  </si>
  <si>
    <t>Hidden Calc. Rows 40-50, Available heat calc., specific heat values for steel</t>
  </si>
  <si>
    <t>Material used for the fixture - furniture</t>
  </si>
  <si>
    <t xml:space="preserve">Material </t>
  </si>
  <si>
    <t xml:space="preserve">Specific Heat Btu/(lb. F.) </t>
  </si>
  <si>
    <t>Notes</t>
  </si>
  <si>
    <t xml:space="preserve">Carbon Steel </t>
  </si>
  <si>
    <t>0.13 to 0.166</t>
  </si>
  <si>
    <t xml:space="preserve">from 200 F. to 1200 F. </t>
  </si>
  <si>
    <t>Carbon- graphite</t>
  </si>
  <si>
    <t>0.21 to 0.46</t>
  </si>
  <si>
    <t>from 200 F to 2200 F.</t>
  </si>
  <si>
    <t>Cast Iron/Iron</t>
  </si>
  <si>
    <t>Ceramics</t>
  </si>
  <si>
    <t>Copper</t>
  </si>
  <si>
    <t>Glass</t>
  </si>
  <si>
    <t>0.13 to 0.2</t>
  </si>
  <si>
    <t>from 60 F. to 1200 F.</t>
  </si>
  <si>
    <t>Inconel</t>
  </si>
  <si>
    <t>Magnesium</t>
  </si>
  <si>
    <t>Platinum</t>
  </si>
  <si>
    <t>Quartz</t>
  </si>
  <si>
    <t>Silicon carbide</t>
  </si>
  <si>
    <t>Silicone</t>
  </si>
  <si>
    <t>Stainless steel</t>
  </si>
  <si>
    <t>0.14 to 0.24</t>
  </si>
  <si>
    <t>from 400 F. to 1200 F.</t>
  </si>
  <si>
    <t>Stone</t>
  </si>
  <si>
    <t>Titanium</t>
  </si>
  <si>
    <t>Tungsten</t>
  </si>
  <si>
    <t>Zinc</t>
  </si>
  <si>
    <t>Source: Compiled by Arvind Thekdi from various sources including North American Combustion Handbook,.</t>
  </si>
  <si>
    <t>Change in Fixture Material and/or Weight</t>
  </si>
  <si>
    <t>Total Fixture Weight (lbs)</t>
  </si>
  <si>
    <t>Fixture Weight Reduction</t>
  </si>
  <si>
    <t>Nickel (Nickel alloys)</t>
  </si>
  <si>
    <r>
      <t>Mean specific heat of the</t>
    </r>
    <r>
      <rPr>
        <sz val="10"/>
        <rFont val="Arial"/>
        <family val="2"/>
      </rPr>
      <t xml:space="preserve"> material used (Btu/lb. F)</t>
    </r>
  </si>
  <si>
    <t>Initial temp. entering furnace (F)</t>
  </si>
  <si>
    <t>Final temp. leaving furnace (F)</t>
  </si>
  <si>
    <t>AT Input</t>
  </si>
  <si>
    <t>Calc. Input</t>
  </si>
  <si>
    <t>Calc.: Gas savings (18) / Initial Gas use (5)</t>
  </si>
  <si>
    <t>Calc.: Initial Gas Use (5) - Gas savings (18)</t>
  </si>
  <si>
    <t>Calc.: Gas savings (18) x Gas Rate (19)</t>
  </si>
  <si>
    <t>Hidden Calc Cells rows: 37-43 -- Available heat calc.</t>
  </si>
  <si>
    <t>Specific Heat Lookup Table</t>
  </si>
  <si>
    <t>Calc.: (5) old gas use x (8) old available heat / (8) new available heat</t>
  </si>
  <si>
    <r>
      <t>6.</t>
    </r>
    <r>
      <rPr>
        <sz val="7"/>
        <rFont val="Times New Roman"/>
        <family val="1"/>
      </rPr>
      <t xml:space="preserve">      </t>
    </r>
    <r>
      <rPr>
        <sz val="11"/>
        <rFont val="Times New Roman"/>
        <family val="1"/>
      </rPr>
      <t>Oxygen in combustion air % -- The concentration of oxygen in standard air is approximately 21%.  This is used as the starting value for this calculator.  The percentage of oxygen in the enriched air stream is entered in the last column.</t>
    </r>
  </si>
  <si>
    <r>
      <t>7.</t>
    </r>
    <r>
      <rPr>
        <sz val="7"/>
        <rFont val="Times New Roman"/>
        <family val="1"/>
      </rPr>
      <t xml:space="preserve">      </t>
    </r>
    <r>
      <rPr>
        <sz val="11"/>
        <rFont val="Times New Roman"/>
        <family val="1"/>
      </rPr>
      <t xml:space="preserve">Input: Flue gas temperature – a customer supplied input.  </t>
    </r>
  </si>
  <si>
    <r>
      <t>8.</t>
    </r>
    <r>
      <rPr>
        <sz val="7"/>
        <rFont val="Times New Roman"/>
        <family val="1"/>
      </rPr>
      <t xml:space="preserve">      </t>
    </r>
    <r>
      <rPr>
        <sz val="11"/>
        <rFont val="Times New Roman"/>
        <family val="1"/>
      </rPr>
      <t xml:space="preserve">Calc.: Available Heat to the Process (percent) – This equals the total heat of combustion minus the sensible and latent heat contained in the flue gases. In this calculator the effect of excess air is ignored. (The justification and documentation of this calculation are provided in </t>
    </r>
    <r>
      <rPr>
        <b/>
        <sz val="11"/>
        <rFont val="Times New Roman"/>
        <family val="1"/>
      </rPr>
      <t>Appendix B.)</t>
    </r>
  </si>
  <si>
    <r>
      <t>9.</t>
    </r>
    <r>
      <rPr>
        <sz val="7"/>
        <rFont val="Times New Roman"/>
        <family val="1"/>
      </rPr>
      <t xml:space="preserve">      </t>
    </r>
    <r>
      <rPr>
        <sz val="11"/>
        <rFont val="Times New Roman"/>
        <family val="1"/>
      </rPr>
      <t>Calc.: Gas Savings Percent – the difference of baseline gas use (5) and new gas use  (10) divided by baseline gas use. (5).</t>
    </r>
  </si>
  <si>
    <r>
      <t>10.</t>
    </r>
    <r>
      <rPr>
        <sz val="7"/>
        <rFont val="Times New Roman"/>
        <family val="1"/>
      </rPr>
      <t xml:space="preserve">  </t>
    </r>
    <r>
      <rPr>
        <sz val="11"/>
        <rFont val="Times New Roman"/>
        <family val="1"/>
      </rPr>
      <t>Calc.: (5) old gas use x (8) old available heat / (8) new available heat</t>
    </r>
  </si>
  <si>
    <r>
      <t>11.</t>
    </r>
    <r>
      <rPr>
        <sz val="7"/>
        <rFont val="Times New Roman"/>
        <family val="1"/>
      </rPr>
      <t xml:space="preserve">  </t>
    </r>
    <r>
      <rPr>
        <sz val="11"/>
        <rFont val="Times New Roman"/>
        <family val="1"/>
      </rPr>
      <t>Calc.: Annual Gas Savings due to efficiency measure – this is the primary output of the calculation based on baseline gas use minus gas use after implementation of the efficiency measure.</t>
    </r>
  </si>
  <si>
    <r>
      <t>12.</t>
    </r>
    <r>
      <rPr>
        <sz val="7"/>
        <rFont val="Times New Roman"/>
        <family val="1"/>
      </rPr>
      <t xml:space="preserve">  </t>
    </r>
    <r>
      <rPr>
        <sz val="11"/>
        <rFont val="Times New Roman"/>
        <family val="1"/>
      </rPr>
      <t>Input: gas rate ($/therm) – Customer gas rate—avoided commodity and delivery rate.</t>
    </r>
  </si>
  <si>
    <r>
      <t>13.</t>
    </r>
    <r>
      <rPr>
        <sz val="7"/>
        <rFont val="Times New Roman"/>
        <family val="1"/>
      </rPr>
      <t xml:space="preserve">  </t>
    </r>
    <r>
      <rPr>
        <sz val="11"/>
        <rFont val="Times New Roman"/>
        <family val="1"/>
      </rPr>
      <t>Calc.: (12) gas rate x (11) gas savings.</t>
    </r>
  </si>
  <si>
    <t xml:space="preserve">Oxygen Enrichment </t>
  </si>
  <si>
    <r>
      <t xml:space="preserve">Equipment Load and Annual Use Calculation – </t>
    </r>
    <r>
      <rPr>
        <sz val="11"/>
        <rFont val="Times New Roman"/>
        <family val="1"/>
      </rPr>
      <t>Information from this section is to be taken from the Load Balance Tool.  Customer supplied information that varies from the Load Balance Tool requires approval.  Lines 1-5 are the same for all calculations in this workbook.</t>
    </r>
  </si>
  <si>
    <t xml:space="preserve">Furnace Conditions </t>
  </si>
  <si>
    <r>
      <t>6.</t>
    </r>
    <r>
      <rPr>
        <sz val="7"/>
        <rFont val="Times New Roman"/>
        <family val="1"/>
      </rPr>
      <t xml:space="preserve">      </t>
    </r>
    <r>
      <rPr>
        <sz val="11"/>
        <rFont val="Times New Roman"/>
        <family val="1"/>
      </rPr>
      <t>Input: Flue gas temperature – a customer supplied input – the same for both before and after efficiency measure.</t>
    </r>
  </si>
  <si>
    <r>
      <t>9.</t>
    </r>
    <r>
      <rPr>
        <sz val="7"/>
        <rFont val="Times New Roman"/>
        <family val="1"/>
      </rPr>
      <t xml:space="preserve">      </t>
    </r>
    <r>
      <rPr>
        <sz val="11"/>
        <rFont val="Times New Roman"/>
        <family val="1"/>
      </rPr>
      <t>Input: Combustion air temperature – typically higher than ambient temperature due to pick of heat from the blower motor.</t>
    </r>
  </si>
  <si>
    <r>
      <t>11.</t>
    </r>
    <r>
      <rPr>
        <sz val="7"/>
        <rFont val="Times New Roman"/>
        <family val="1"/>
      </rPr>
      <t xml:space="preserve">  </t>
    </r>
    <r>
      <rPr>
        <sz val="11"/>
        <rFont val="Times New Roman"/>
        <family val="1"/>
      </rPr>
      <t>Input: Total weight (lbs/hour) – total weight of the charge input to the process, assumed to be the same before and after moisture removal.</t>
    </r>
  </si>
  <si>
    <r>
      <t>12.</t>
    </r>
    <r>
      <rPr>
        <sz val="7"/>
        <rFont val="Times New Roman"/>
        <family val="1"/>
      </rPr>
      <t xml:space="preserve">  </t>
    </r>
    <r>
      <rPr>
        <sz val="11"/>
        <rFont val="Times New Roman"/>
        <family val="1"/>
      </rPr>
      <t>Input: Moisture content (%) – the basis for the energy savings for the process.</t>
    </r>
  </si>
  <si>
    <r>
      <t>13.</t>
    </r>
    <r>
      <rPr>
        <sz val="7"/>
        <rFont val="Times New Roman"/>
        <family val="1"/>
      </rPr>
      <t xml:space="preserve">  </t>
    </r>
    <r>
      <rPr>
        <sz val="11"/>
        <rFont val="Times New Roman"/>
        <family val="1"/>
      </rPr>
      <t>Calc.: Water content (lbs/hr) – Total weight (11) times (12) moisture percent</t>
    </r>
  </si>
  <si>
    <r>
      <t>14.</t>
    </r>
    <r>
      <rPr>
        <sz val="7"/>
        <rFont val="Times New Roman"/>
        <family val="1"/>
      </rPr>
      <t xml:space="preserve">  </t>
    </r>
    <r>
      <rPr>
        <sz val="11"/>
        <rFont val="Times New Roman"/>
        <family val="1"/>
      </rPr>
      <t>Input: Temperature at furnace entrance – The input temperature of the product entering the furnace.  Drier product may be hotter depending on moisture removal process used.</t>
    </r>
  </si>
  <si>
    <r>
      <t>15.</t>
    </r>
    <r>
      <rPr>
        <sz val="7"/>
        <rFont val="Times New Roman"/>
        <family val="1"/>
      </rPr>
      <t xml:space="preserve">  </t>
    </r>
    <r>
      <rPr>
        <sz val="11"/>
        <rFont val="Times New Roman"/>
        <family val="1"/>
      </rPr>
      <t>Calc.: Gas Savings Percent – Calc.: Gas savings (17) / Initial Gas use (5)</t>
    </r>
  </si>
  <si>
    <r>
      <t>16.</t>
    </r>
    <r>
      <rPr>
        <sz val="7"/>
        <rFont val="Times New Roman"/>
        <family val="1"/>
      </rPr>
      <t xml:space="preserve">  </t>
    </r>
    <r>
      <rPr>
        <sz val="11"/>
        <rFont val="Times New Roman"/>
        <family val="1"/>
      </rPr>
      <t>Calc.: New gas use (therms/year) – Calc.: Initial Gas Use (5) - Gas savings (17)</t>
    </r>
  </si>
  <si>
    <r>
      <t>17.</t>
    </r>
    <r>
      <rPr>
        <sz val="7"/>
        <rFont val="Times New Roman"/>
        <family val="1"/>
      </rPr>
      <t xml:space="preserve">  </t>
    </r>
    <r>
      <rPr>
        <sz val="11"/>
        <rFont val="Times New Roman"/>
        <family val="1"/>
      </rPr>
      <t>Calc.: Annual Gas Savings due to efficiency measure – The difference in the heat required to heat and vaporize the water in the feedstock divided by the furnace available heat.  This is the primary output of the calculation tool.</t>
    </r>
  </si>
  <si>
    <r>
      <t>18.</t>
    </r>
    <r>
      <rPr>
        <sz val="7"/>
        <rFont val="Times New Roman"/>
        <family val="1"/>
      </rPr>
      <t xml:space="preserve">  </t>
    </r>
    <r>
      <rPr>
        <sz val="11"/>
        <rFont val="Times New Roman"/>
        <family val="1"/>
      </rPr>
      <t>Input: gas rate ($/therm) – Customer gas rate—avoided commodity and delivery rate.</t>
    </r>
  </si>
  <si>
    <r>
      <t>19.</t>
    </r>
    <r>
      <rPr>
        <sz val="7"/>
        <rFont val="Times New Roman"/>
        <family val="1"/>
      </rPr>
      <t xml:space="preserve">  </t>
    </r>
    <r>
      <rPr>
        <sz val="11"/>
        <rFont val="Times New Roman"/>
        <family val="1"/>
      </rPr>
      <t>Calc.: (18) gas rate x (17) gas savings..</t>
    </r>
  </si>
  <si>
    <t>Calc.: Initial Gas Use (5) - Gas savings (16)</t>
  </si>
  <si>
    <r>
      <t>8.</t>
    </r>
    <r>
      <rPr>
        <sz val="7"/>
        <rFont val="Times New Roman"/>
        <family val="1"/>
      </rPr>
      <t xml:space="preserve">      </t>
    </r>
    <r>
      <rPr>
        <sz val="11"/>
        <rFont val="Times New Roman"/>
        <family val="1"/>
      </rPr>
      <t>Calc.: Excess air is a function of Oxygen in the exhaust (Line 7).  This is function is a polynomial curve fit to the output of a combustion equilibrium model.</t>
    </r>
  </si>
  <si>
    <r>
      <t>10.</t>
    </r>
    <r>
      <rPr>
        <sz val="7"/>
        <rFont val="Times New Roman"/>
        <family val="1"/>
      </rPr>
      <t xml:space="preserve">  </t>
    </r>
    <r>
      <rPr>
        <sz val="11"/>
        <rFont val="Times New Roman"/>
        <family val="1"/>
      </rPr>
      <t>Input: Combustion air temperature – typically higher than ambient temperature due to pick of heat from the blower motor.</t>
    </r>
  </si>
  <si>
    <r>
      <t>11.</t>
    </r>
    <r>
      <rPr>
        <sz val="7"/>
        <rFont val="Times New Roman"/>
        <family val="1"/>
      </rPr>
      <t xml:space="preserve">  </t>
    </r>
    <r>
      <rPr>
        <sz val="11"/>
        <rFont val="Times New Roman"/>
        <family val="1"/>
      </rPr>
      <t>Input: Surface area of the furnace (sq.ft.)  – Based on the length, height, and width of the furnace..</t>
    </r>
  </si>
  <si>
    <r>
      <t>12.</t>
    </r>
    <r>
      <rPr>
        <sz val="7"/>
        <rFont val="Times New Roman"/>
        <family val="1"/>
      </rPr>
      <t xml:space="preserve">  </t>
    </r>
    <r>
      <rPr>
        <sz val="11"/>
        <rFont val="Times New Roman"/>
        <family val="1"/>
      </rPr>
      <t>Input: Wall surface temperature – the reduction in temperature from the baseline to the efficiency case is the basis for the savings.</t>
    </r>
  </si>
  <si>
    <r>
      <t>14.</t>
    </r>
    <r>
      <rPr>
        <sz val="7"/>
        <rFont val="Times New Roman"/>
        <family val="1"/>
      </rPr>
      <t xml:space="preserve">  </t>
    </r>
    <r>
      <rPr>
        <sz val="11"/>
        <rFont val="Times New Roman"/>
        <family val="1"/>
      </rPr>
      <t>Calc.: Gas Savings Percent – Calc.: Gas savings (16) / Initial Gas use (5)</t>
    </r>
  </si>
  <si>
    <r>
      <t>15.</t>
    </r>
    <r>
      <rPr>
        <sz val="7"/>
        <rFont val="Times New Roman"/>
        <family val="1"/>
      </rPr>
      <t xml:space="preserve">  </t>
    </r>
    <r>
      <rPr>
        <sz val="11"/>
        <rFont val="Times New Roman"/>
        <family val="1"/>
      </rPr>
      <t>Calc.: New gas use (therms/year) – Calc.: Initial Gas Use (5) - Gas savings (16)</t>
    </r>
  </si>
  <si>
    <r>
      <t>16.</t>
    </r>
    <r>
      <rPr>
        <sz val="7"/>
        <rFont val="Times New Roman"/>
        <family val="1"/>
      </rPr>
      <t xml:space="preserve">  </t>
    </r>
    <r>
      <rPr>
        <sz val="11"/>
        <rFont val="Times New Roman"/>
        <family val="1"/>
      </rPr>
      <t>Calc.: Annual Gas Savings due to efficiency measure – Heat loss difference  x surface area x EFLH (see Appendix C)</t>
    </r>
  </si>
  <si>
    <r>
      <t>18.</t>
    </r>
    <r>
      <rPr>
        <sz val="7"/>
        <rFont val="Times New Roman"/>
        <family val="1"/>
      </rPr>
      <t xml:space="preserve">  </t>
    </r>
    <r>
      <rPr>
        <sz val="11"/>
        <rFont val="Times New Roman"/>
        <family val="1"/>
      </rPr>
      <t>Calc.: (17) gas rate x (16) gas savings..</t>
    </r>
  </si>
  <si>
    <t>9.    Input: Ambient air temperature – part of the calculation of heat loss from the wall.</t>
  </si>
  <si>
    <t>Total net heat required (Btu/lb)</t>
  </si>
  <si>
    <t>Heat required for Aluminum (Btu/lb)</t>
  </si>
  <si>
    <t>Heat (gross) input required (Btu/lb)</t>
  </si>
  <si>
    <t>Gross heat input required (Btu/lb)</t>
  </si>
  <si>
    <t>Heat in other losses (Btu/lb)</t>
  </si>
  <si>
    <t>Energy Use (Btu/lb Al)</t>
  </si>
  <si>
    <r>
      <t>6.</t>
    </r>
    <r>
      <rPr>
        <sz val="7"/>
        <rFont val="Times New Roman"/>
        <family val="1"/>
      </rPr>
      <t xml:space="preserve">      </t>
    </r>
    <r>
      <rPr>
        <sz val="11"/>
        <rFont val="Times New Roman"/>
        <family val="1"/>
      </rPr>
      <t>Input: Annual production (tons/year) – customer supplied input on tons of molten aluminum produced by the furnace.</t>
    </r>
  </si>
  <si>
    <r>
      <t>7.</t>
    </r>
    <r>
      <rPr>
        <sz val="7"/>
        <rFont val="Times New Roman"/>
        <family val="1"/>
      </rPr>
      <t xml:space="preserve">      </t>
    </r>
    <r>
      <rPr>
        <sz val="11"/>
        <rFont val="Times New Roman"/>
        <family val="1"/>
      </rPr>
      <t>Calc.: Energy use (Btu/lb Aluminum) – annual energy consumption (5) divided by annual production (6) with unit conversion from therms to Btus and tons to lbs.</t>
    </r>
  </si>
  <si>
    <r>
      <t>8.</t>
    </r>
    <r>
      <rPr>
        <sz val="7"/>
        <rFont val="Times New Roman"/>
        <family val="1"/>
      </rPr>
      <t xml:space="preserve">      </t>
    </r>
    <r>
      <rPr>
        <sz val="11"/>
        <rFont val="Times New Roman"/>
        <family val="1"/>
      </rPr>
      <t>Input: Flue gas temperature – a customer supplied input – the same for both before and after efficiency measure.</t>
    </r>
  </si>
  <si>
    <r>
      <t>10.</t>
    </r>
    <r>
      <rPr>
        <sz val="7"/>
        <rFont val="Times New Roman"/>
        <family val="1"/>
      </rPr>
      <t xml:space="preserve">  </t>
    </r>
    <r>
      <rPr>
        <sz val="11"/>
        <rFont val="Times New Roman"/>
        <family val="1"/>
      </rPr>
      <t>Input: Oxygen percent in the flue gas (% dry basis) – a customer supplied input.</t>
    </r>
  </si>
  <si>
    <r>
      <t xml:space="preserve">Equipment Load and Annual Use Calculation – </t>
    </r>
    <r>
      <rPr>
        <sz val="11"/>
        <rFont val="Times New Roman"/>
        <family val="1"/>
      </rPr>
      <t>Information from this section is to be taken from the Load Balance Tool.  Customer supplied information that varies from the Load Balance Tool requires approval.  Lines 1-5 are the same for all calculations in t</t>
    </r>
  </si>
  <si>
    <t>Energy Use (Btu/lb steel)</t>
  </si>
  <si>
    <t>Heat in steel at final temperature (Btu/lb)</t>
  </si>
  <si>
    <t>Furnace Available Heat (%)</t>
  </si>
  <si>
    <t>Flue gas temp from furnace (F)</t>
  </si>
  <si>
    <r>
      <t>11.</t>
    </r>
    <r>
      <rPr>
        <sz val="7"/>
        <rFont val="Times New Roman"/>
        <family val="1"/>
      </rPr>
      <t xml:space="preserve">  </t>
    </r>
    <r>
      <rPr>
        <sz val="11"/>
        <rFont val="Times New Roman"/>
        <family val="1"/>
      </rPr>
      <t>Calc.: Excess air is a function of Oxygen in the exhaust (Line 10).  This is function is a polynomial curve fit to the output of a combustion equilibrium model.</t>
    </r>
  </si>
  <si>
    <r>
      <t>6.</t>
    </r>
    <r>
      <rPr>
        <sz val="7"/>
        <rFont val="Times New Roman"/>
        <family val="1"/>
      </rPr>
      <t xml:space="preserve">      </t>
    </r>
    <r>
      <rPr>
        <sz val="11"/>
        <rFont val="Times New Roman"/>
        <family val="1"/>
      </rPr>
      <t>Input: Annual production (tons/year) – customer supplied input on tons of heated steel produced by the furnace.</t>
    </r>
  </si>
  <si>
    <r>
      <t>7.</t>
    </r>
    <r>
      <rPr>
        <sz val="7"/>
        <rFont val="Times New Roman"/>
        <family val="1"/>
      </rPr>
      <t xml:space="preserve">      </t>
    </r>
    <r>
      <rPr>
        <sz val="11"/>
        <rFont val="Times New Roman"/>
        <family val="1"/>
      </rPr>
      <t>Calc.: Energy use (Btu/lb steel) – annual energy consumption (5) divided by annual production (6) with unit conversion from therms to Btus and tons to lbs.</t>
    </r>
  </si>
  <si>
    <r>
      <t>9.</t>
    </r>
    <r>
      <rPr>
        <sz val="7"/>
        <rFont val="Times New Roman"/>
        <family val="1"/>
      </rPr>
      <t xml:space="preserve">      </t>
    </r>
    <r>
      <rPr>
        <sz val="11"/>
        <rFont val="Times New Roman"/>
        <family val="1"/>
      </rPr>
      <t>Input: Combustion air temperature – may include combustion air preheat.</t>
    </r>
  </si>
  <si>
    <r>
      <t>11.</t>
    </r>
    <r>
      <rPr>
        <sz val="7"/>
        <rFont val="Times New Roman"/>
        <family val="1"/>
      </rPr>
      <t xml:space="preserve">  </t>
    </r>
    <r>
      <rPr>
        <sz val="11"/>
        <rFont val="Times New Roman"/>
        <family val="1"/>
      </rPr>
      <t>Input: Initial temperature (F) – the temperature of the fixture entering the furnace, a customer input.</t>
    </r>
  </si>
  <si>
    <r>
      <t>12.</t>
    </r>
    <r>
      <rPr>
        <sz val="7"/>
        <rFont val="Times New Roman"/>
        <family val="1"/>
      </rPr>
      <t xml:space="preserve">  </t>
    </r>
    <r>
      <rPr>
        <sz val="11"/>
        <rFont val="Times New Roman"/>
        <family val="1"/>
      </rPr>
      <t>Input: Final temperature (F) – the temperature of the fixture leaving the furnace, a customer input.</t>
    </r>
  </si>
  <si>
    <r>
      <t>14.</t>
    </r>
    <r>
      <rPr>
        <sz val="7"/>
        <rFont val="Times New Roman"/>
        <family val="1"/>
      </rPr>
      <t xml:space="preserve">  </t>
    </r>
    <r>
      <rPr>
        <sz val="11"/>
        <rFont val="Times New Roman"/>
        <family val="1"/>
      </rPr>
      <t>Input: Material used for the fixture/furniture – the calculator has a drop down list of materials.  The user selects from this list for both the baseline and the efficiency measure cases.</t>
    </r>
  </si>
  <si>
    <r>
      <t>15.</t>
    </r>
    <r>
      <rPr>
        <sz val="7"/>
        <rFont val="Times New Roman"/>
        <family val="1"/>
      </rPr>
      <t xml:space="preserve">  </t>
    </r>
    <r>
      <rPr>
        <sz val="11"/>
        <rFont val="Times New Roman"/>
        <family val="1"/>
      </rPr>
      <t>Calc.: mean specific heat of the fixture material – once the fixture material is selected (14) the specific heat for that material between the entrance (11) and exit temperatures (12) is entered into the calculator automatically by means of a look-up table, shown at the bottom of the worksheet.)</t>
    </r>
  </si>
  <si>
    <r>
      <t>16.</t>
    </r>
    <r>
      <rPr>
        <sz val="7"/>
        <rFont val="Times New Roman"/>
        <family val="1"/>
      </rPr>
      <t xml:space="preserve">  </t>
    </r>
    <r>
      <rPr>
        <sz val="11"/>
        <rFont val="Times New Roman"/>
        <family val="1"/>
      </rPr>
      <t>Calc.: Gas Savings Percent – Calc.: Gas savings (18) / Initial Gas use (5)</t>
    </r>
  </si>
  <si>
    <r>
      <t>17.</t>
    </r>
    <r>
      <rPr>
        <sz val="7"/>
        <rFont val="Times New Roman"/>
        <family val="1"/>
      </rPr>
      <t xml:space="preserve">  </t>
    </r>
    <r>
      <rPr>
        <sz val="11"/>
        <rFont val="Times New Roman"/>
        <family val="1"/>
      </rPr>
      <t>Calc.: New gas use (therms/year) – Calc.: Initial Gas Use (5) - Gas savings (18)</t>
    </r>
  </si>
  <si>
    <r>
      <t>18.</t>
    </r>
    <r>
      <rPr>
        <sz val="7"/>
        <rFont val="Times New Roman"/>
        <family val="1"/>
      </rPr>
      <t xml:space="preserve">  </t>
    </r>
    <r>
      <rPr>
        <sz val="11"/>
        <rFont val="Times New Roman"/>
        <family val="1"/>
      </rPr>
      <t>Calc.: Annual Gas Savings due to efficiency measure – EFLH x (exit temp - initial temp) x (Weight</t>
    </r>
    <r>
      <rPr>
        <vertAlign val="subscript"/>
        <sz val="11"/>
        <rFont val="Times New Roman"/>
        <family val="1"/>
      </rPr>
      <t>1</t>
    </r>
    <r>
      <rPr>
        <sz val="11"/>
        <rFont val="Times New Roman"/>
        <family val="1"/>
      </rPr>
      <t xml:space="preserve"> x Cp</t>
    </r>
    <r>
      <rPr>
        <vertAlign val="subscript"/>
        <sz val="11"/>
        <rFont val="Times New Roman"/>
        <family val="1"/>
      </rPr>
      <t>1</t>
    </r>
    <r>
      <rPr>
        <sz val="11"/>
        <rFont val="Times New Roman"/>
        <family val="1"/>
      </rPr>
      <t xml:space="preserve"> -Weight</t>
    </r>
    <r>
      <rPr>
        <vertAlign val="subscript"/>
        <sz val="11"/>
        <rFont val="Times New Roman"/>
        <family val="1"/>
      </rPr>
      <t>2</t>
    </r>
    <r>
      <rPr>
        <sz val="11"/>
        <rFont val="Times New Roman"/>
        <family val="1"/>
      </rPr>
      <t xml:space="preserve"> x CP</t>
    </r>
    <r>
      <rPr>
        <vertAlign val="subscript"/>
        <sz val="11"/>
        <rFont val="Times New Roman"/>
        <family val="1"/>
      </rPr>
      <t>2</t>
    </r>
    <r>
      <rPr>
        <sz val="11"/>
        <rFont val="Times New Roman"/>
        <family val="1"/>
      </rPr>
      <t>)/Available heat to furnace, with units corrected to therms/year from Btu/year</t>
    </r>
  </si>
  <si>
    <r>
      <t>19.</t>
    </r>
    <r>
      <rPr>
        <sz val="7"/>
        <rFont val="Times New Roman"/>
        <family val="1"/>
      </rPr>
      <t xml:space="preserve">  </t>
    </r>
    <r>
      <rPr>
        <sz val="11"/>
        <rFont val="Times New Roman"/>
        <family val="1"/>
      </rPr>
      <t>Input: gas rate ($/therm) – Customer gas rate—avoided commodity and delivery rate.</t>
    </r>
  </si>
  <si>
    <r>
      <t>20.</t>
    </r>
    <r>
      <rPr>
        <sz val="7"/>
        <rFont val="Times New Roman"/>
        <family val="1"/>
      </rPr>
      <t xml:space="preserve">  </t>
    </r>
    <r>
      <rPr>
        <sz val="11"/>
        <rFont val="Times New Roman"/>
        <family val="1"/>
      </rPr>
      <t>Calc.: (19) gas rate x (18) gas savings.</t>
    </r>
  </si>
  <si>
    <r>
      <t>Surface area (ft</t>
    </r>
    <r>
      <rPr>
        <vertAlign val="superscript"/>
        <sz val="10"/>
        <rFont val="Arial"/>
        <family val="2"/>
      </rPr>
      <t>2</t>
    </r>
    <r>
      <rPr>
        <sz val="10"/>
        <rFont val="Arial"/>
        <family val="2"/>
      </rPr>
      <t>)</t>
    </r>
  </si>
  <si>
    <r>
      <t>Heat Loss [Btu/(hr.ft</t>
    </r>
    <r>
      <rPr>
        <vertAlign val="superscript"/>
        <sz val="10"/>
        <rFont val="Arial"/>
        <family val="2"/>
      </rPr>
      <t>2</t>
    </r>
    <r>
      <rPr>
        <sz val="10"/>
        <rFont val="Arial"/>
        <family val="2"/>
      </rPr>
      <t>)]</t>
    </r>
  </si>
  <si>
    <t>Steel Charge Preheat</t>
  </si>
  <si>
    <t>Furnace Wall Loss Savings</t>
  </si>
  <si>
    <t>Gas Savings (therms/year)</t>
  </si>
  <si>
    <t>Customer Input: product temps may differ.</t>
  </si>
  <si>
    <t>Combustion air temp (F)</t>
  </si>
  <si>
    <t>Calc.: heat to melt and raise Al to final temp less heat to preheat Al</t>
  </si>
  <si>
    <t>Btu/#-deg F</t>
  </si>
  <si>
    <t>Cp for steel up to 1400 deg. F.</t>
  </si>
  <si>
    <t>Air preheat temp. (F)</t>
  </si>
  <si>
    <t>Customer Input: Select from Dropdown list</t>
  </si>
  <si>
    <t xml:space="preserve">Note: Linear interpolation used to get value of specific heat at a required temperature where a range of values is given.  </t>
  </si>
  <si>
    <t>Charge in Fixture Material and/or Weight</t>
  </si>
  <si>
    <r>
      <t>13.</t>
    </r>
    <r>
      <rPr>
        <sz val="7"/>
        <rFont val="Times New Roman"/>
        <family val="1"/>
      </rPr>
      <t xml:space="preserve">  </t>
    </r>
    <r>
      <rPr>
        <sz val="11"/>
        <rFont val="Times New Roman"/>
        <family val="1"/>
      </rPr>
      <t>Input: Total fixture weight (lbs) – The weight of the fixtures for both the baseline and  the energy efficiency measure cases, a customer input.</t>
    </r>
  </si>
  <si>
    <t>Available Heat to the Furnace (%)</t>
  </si>
  <si>
    <t>Calc.: Fitted function of oxygen in flue (7)</t>
  </si>
  <si>
    <t>Calc.: See workpaper, available heat calculation</t>
  </si>
  <si>
    <t>Calc: (1) connected load x (4) EFLH / (100 MBtu/therm)</t>
  </si>
  <si>
    <r>
      <t>Applicable to furnace wall temperatures between 60-450</t>
    </r>
    <r>
      <rPr>
        <vertAlign val="superscript"/>
        <sz val="11"/>
        <color indexed="18"/>
        <rFont val="Arial"/>
        <family val="2"/>
      </rPr>
      <t>o</t>
    </r>
    <r>
      <rPr>
        <sz val="11"/>
        <color indexed="18"/>
        <rFont val="Arial"/>
        <family val="2"/>
      </rPr>
      <t xml:space="preserve"> F</t>
    </r>
  </si>
  <si>
    <t>Hidden Calc Cells rows: 36-41 Available Heat Calculation</t>
  </si>
  <si>
    <t>Hidden Calc Cells rows: 37-49: Available Heat Calculation, thermal properties of water and steam</t>
  </si>
  <si>
    <t>Charge Prehat temp (F)</t>
  </si>
  <si>
    <t>Customer input: Initial conditions</t>
  </si>
  <si>
    <t>Calc.: (12)/100 x (7) - ((16) baseline)</t>
  </si>
  <si>
    <t>Calc.: (16) + (17)</t>
  </si>
  <si>
    <t>Net heat (18) / Avail. Heat % (12)</t>
  </si>
  <si>
    <t>Calc.: Change in gross heat (19base - 19new) / 19base</t>
  </si>
  <si>
    <t>Calc.: (1 - savings % (20)) x Initial gas use (5)</t>
  </si>
  <si>
    <t>Calc.: Initial gas use  (5) - New gas use (21)</t>
  </si>
  <si>
    <t>Calc.: Gas savings (22) x Gas Rate (23)</t>
  </si>
  <si>
    <t>Hidden Calc cells Rows 41-61: Available heat calc., Thermal properties of aluminum</t>
  </si>
  <si>
    <t>Calc.: Heat required to raise steel temp to (15)</t>
  </si>
  <si>
    <t xml:space="preserve">Customer Input: </t>
  </si>
  <si>
    <r>
      <t>13.</t>
    </r>
    <r>
      <rPr>
        <sz val="7"/>
        <rFont val="Times New Roman"/>
        <family val="1"/>
      </rPr>
      <t xml:space="preserve">  </t>
    </r>
    <r>
      <rPr>
        <sz val="11"/>
        <rFont val="Times New Roman"/>
        <family val="1"/>
      </rPr>
      <t xml:space="preserve">Input: Charge initial temperature – Baseline temperature of the aluminum charged to the melter, a customer supplied input.  </t>
    </r>
  </si>
  <si>
    <r>
      <t>14.</t>
    </r>
    <r>
      <rPr>
        <sz val="7"/>
        <rFont val="Times New Roman"/>
        <family val="1"/>
      </rPr>
      <t xml:space="preserve">  </t>
    </r>
    <r>
      <rPr>
        <sz val="11"/>
        <rFont val="Times New Roman"/>
        <family val="1"/>
      </rPr>
      <t>Input: Charge preheat temperature – The suggested charge preheat for the efficiency measure, a customer supplied input.</t>
    </r>
  </si>
  <si>
    <r>
      <t>15.</t>
    </r>
    <r>
      <rPr>
        <sz val="7"/>
        <rFont val="Times New Roman"/>
        <family val="1"/>
      </rPr>
      <t xml:space="preserve">  </t>
    </r>
    <r>
      <rPr>
        <sz val="11"/>
        <rFont val="Times New Roman"/>
        <family val="1"/>
      </rPr>
      <t>Input: Final molten aluminum temperature (F) – the temperature of the molten aluminum leaving the furnace, a customer supplied input.</t>
    </r>
  </si>
  <si>
    <r>
      <t>16.</t>
    </r>
    <r>
      <rPr>
        <sz val="7"/>
        <rFont val="Times New Roman"/>
        <family val="1"/>
      </rPr>
      <t xml:space="preserve">  </t>
    </r>
    <r>
      <rPr>
        <sz val="11"/>
        <rFont val="Times New Roman"/>
        <family val="1"/>
      </rPr>
      <t>Calc.: Heat required for the aluminum (Btu/lb) – this calculation includes the heat required to raise the aluminum to melt temperature, the heat required for the phase change from solid to liquid, and the heat required to raise the molten aluminum to its final temperature.  This calculation requires the specific heat of solid aluminum from ambient to melting temperature, approximately 1225</t>
    </r>
    <r>
      <rPr>
        <vertAlign val="superscript"/>
        <sz val="11"/>
        <rFont val="Times New Roman"/>
        <family val="1"/>
      </rPr>
      <t>o</t>
    </r>
    <r>
      <rPr>
        <sz val="11"/>
        <rFont val="Times New Roman"/>
        <family val="1"/>
      </rPr>
      <t xml:space="preserve"> F, the heat of fusion, and the specific heat of molten aluminum from 1225</t>
    </r>
    <r>
      <rPr>
        <vertAlign val="superscript"/>
        <sz val="11"/>
        <rFont val="Times New Roman"/>
        <family val="1"/>
      </rPr>
      <t>o</t>
    </r>
    <r>
      <rPr>
        <sz val="11"/>
        <rFont val="Times New Roman"/>
        <family val="1"/>
      </rPr>
      <t xml:space="preserve"> F to its final temperature.</t>
    </r>
  </si>
  <si>
    <r>
      <t>17.</t>
    </r>
    <r>
      <rPr>
        <sz val="7"/>
        <rFont val="Times New Roman"/>
        <family val="1"/>
      </rPr>
      <t xml:space="preserve">  </t>
    </r>
    <r>
      <rPr>
        <sz val="11"/>
        <rFont val="Times New Roman"/>
        <family val="1"/>
      </rPr>
      <t>Calc.: Heat in other losses (Btu/lb) – this calculated value is the difference between the available heat to the furnace and the heat contained in the final product.  These losses include losses from the walls, openings, conveyors and fixtures, and heat stored in the furnace.  It is assumed for this calculation that these other losses remain the same, a reasonable assumption if the charge preheat is used to decrease energy use rather than to increase the throughput of the furnace.</t>
    </r>
  </si>
  <si>
    <r>
      <t>18.</t>
    </r>
    <r>
      <rPr>
        <sz val="7"/>
        <rFont val="Times New Roman"/>
        <family val="1"/>
      </rPr>
      <t xml:space="preserve">  </t>
    </r>
    <r>
      <rPr>
        <sz val="11"/>
        <rFont val="Times New Roman"/>
        <family val="1"/>
      </rPr>
      <t>Calc.: Total net heat to the furnace (Btu/lb) – this calculated value equals the sum of the heat required for the product and the other losses, or as previously defined the available heat to the furnace.</t>
    </r>
  </si>
  <si>
    <r>
      <t>19.</t>
    </r>
    <r>
      <rPr>
        <sz val="7"/>
        <rFont val="Times New Roman"/>
        <family val="1"/>
      </rPr>
      <t xml:space="preserve">  </t>
    </r>
    <r>
      <rPr>
        <sz val="11"/>
        <rFont val="Times New Roman"/>
        <family val="1"/>
      </rPr>
      <t>Calc.: Gross heat to required (Btu/lb) – net heat required (18) divided by available heat % (12) / 100.</t>
    </r>
  </si>
  <si>
    <r>
      <t>20.</t>
    </r>
    <r>
      <rPr>
        <sz val="7"/>
        <rFont val="Times New Roman"/>
        <family val="1"/>
      </rPr>
      <t xml:space="preserve">  </t>
    </r>
    <r>
      <rPr>
        <sz val="11"/>
        <rFont val="Times New Roman"/>
        <family val="1"/>
      </rPr>
      <t>Calc.: Gas Savings Percent – Calc.: The difference between baseline and efficiency measure gross heats (line 19) / baseline gross heat (19)</t>
    </r>
  </si>
  <si>
    <r>
      <t>21.</t>
    </r>
    <r>
      <rPr>
        <sz val="7"/>
        <rFont val="Times New Roman"/>
        <family val="1"/>
      </rPr>
      <t xml:space="preserve">  </t>
    </r>
    <r>
      <rPr>
        <sz val="11"/>
        <rFont val="Times New Roman"/>
        <family val="1"/>
      </rPr>
      <t>Calc.: New gas use (therms/year) – Calc.: (1 – gas savings % (20)) x baseline gas use (5)</t>
    </r>
  </si>
  <si>
    <r>
      <t>22.</t>
    </r>
    <r>
      <rPr>
        <sz val="7"/>
        <rFont val="Times New Roman"/>
        <family val="1"/>
      </rPr>
      <t xml:space="preserve">  </t>
    </r>
    <r>
      <rPr>
        <sz val="11"/>
        <rFont val="Times New Roman"/>
        <family val="1"/>
      </rPr>
      <t>Calc.: Annual Gas Savings due to efficiency measure – Baseline gas use (5) minus new gas use (20).</t>
    </r>
  </si>
  <si>
    <r>
      <t>23.</t>
    </r>
    <r>
      <rPr>
        <sz val="7"/>
        <rFont val="Times New Roman"/>
        <family val="1"/>
      </rPr>
      <t xml:space="preserve">  </t>
    </r>
    <r>
      <rPr>
        <sz val="11"/>
        <rFont val="Times New Roman"/>
        <family val="1"/>
      </rPr>
      <t>Input: gas rate ($/therm) – Customer gas rate—avoided commodity and delivery rate.</t>
    </r>
  </si>
  <si>
    <r>
      <t>24.</t>
    </r>
    <r>
      <rPr>
        <sz val="7"/>
        <rFont val="Times New Roman"/>
        <family val="1"/>
      </rPr>
      <t xml:space="preserve">  </t>
    </r>
    <r>
      <rPr>
        <sz val="11"/>
        <rFont val="Times New Roman"/>
        <family val="1"/>
      </rPr>
      <t>Calc.: Gas savings (22) x Gas rate (23).</t>
    </r>
  </si>
  <si>
    <r>
      <t>13.</t>
    </r>
    <r>
      <rPr>
        <sz val="7"/>
        <rFont val="Times New Roman"/>
        <family val="1"/>
      </rPr>
      <t xml:space="preserve">  </t>
    </r>
    <r>
      <rPr>
        <sz val="11"/>
        <rFont val="Times New Roman"/>
        <family val="1"/>
      </rPr>
      <t xml:space="preserve">Input: Charge initial temperature – customer supplied input concerning the temperature of the steel charged to the furnace.  </t>
    </r>
  </si>
  <si>
    <r>
      <t>14.</t>
    </r>
    <r>
      <rPr>
        <sz val="7"/>
        <rFont val="Times New Roman"/>
        <family val="1"/>
      </rPr>
      <t xml:space="preserve">  </t>
    </r>
    <r>
      <rPr>
        <sz val="11"/>
        <rFont val="Times New Roman"/>
        <family val="1"/>
      </rPr>
      <t>Input: Charge preheat temperature – This input describes the preheat to be achieved by the energy efficiency measure and is the basis for the savings. (Note: should be less than 1400</t>
    </r>
    <r>
      <rPr>
        <vertAlign val="superscript"/>
        <sz val="11"/>
        <rFont val="Times New Roman"/>
        <family val="1"/>
      </rPr>
      <t>o</t>
    </r>
    <r>
      <rPr>
        <sz val="11"/>
        <rFont val="Times New Roman"/>
        <family val="1"/>
      </rPr>
      <t xml:space="preserve"> F.)</t>
    </r>
  </si>
  <si>
    <r>
      <t>15.</t>
    </r>
    <r>
      <rPr>
        <sz val="7"/>
        <rFont val="Times New Roman"/>
        <family val="1"/>
      </rPr>
      <t xml:space="preserve">  </t>
    </r>
    <r>
      <rPr>
        <sz val="11"/>
        <rFont val="Times New Roman"/>
        <family val="1"/>
      </rPr>
      <t>Input: Final steel temperature (F) – the temperature of the steel product leaving the furnace, a customer supplied input. (Note: should be greater than 1700</t>
    </r>
    <r>
      <rPr>
        <vertAlign val="superscript"/>
        <sz val="11"/>
        <rFont val="Times New Roman"/>
        <family val="1"/>
      </rPr>
      <t>o</t>
    </r>
    <r>
      <rPr>
        <sz val="11"/>
        <rFont val="Times New Roman"/>
        <family val="1"/>
      </rPr>
      <t xml:space="preserve"> F.)</t>
    </r>
  </si>
  <si>
    <r>
      <t>16.</t>
    </r>
    <r>
      <rPr>
        <sz val="7"/>
        <rFont val="Times New Roman"/>
        <family val="1"/>
      </rPr>
      <t xml:space="preserve">  </t>
    </r>
    <r>
      <rPr>
        <sz val="11"/>
        <rFont val="Times New Roman"/>
        <family val="1"/>
      </rPr>
      <t>Calc.: Heat required for the steel (Btu/lb) – this calculation includes the heat required to raise the steel to its final temperature.  This calculation requires the mean specific heat of steel from initial charge temperature to its final exit temperature.</t>
    </r>
  </si>
  <si>
    <r>
      <t>17.</t>
    </r>
    <r>
      <rPr>
        <sz val="7"/>
        <rFont val="Times New Roman"/>
        <family val="1"/>
      </rPr>
      <t xml:space="preserve">  </t>
    </r>
    <r>
      <rPr>
        <sz val="11"/>
        <rFont val="Times New Roman"/>
        <family val="1"/>
      </rPr>
      <t>Calc.: Heat in other losses (Btu/lb) – this calculated value is the difference between the available heat to the furnace and the heat contained in the final product.  These losses include losses from the walls, openings, conveyors and fixtures, and heat stored in the furnace.  It is assumed for this calculation that these other losses remain the same; a reasonable assumption if the charge preheat is used to decrease energy use rather than to increase the throughput of the furnace.</t>
    </r>
  </si>
  <si>
    <r>
      <t>10.</t>
    </r>
    <r>
      <rPr>
        <sz val="7"/>
        <rFont val="Times New Roman"/>
        <family val="1"/>
      </rPr>
      <t xml:space="preserve">  </t>
    </r>
    <r>
      <rPr>
        <sz val="11"/>
        <rFont val="Times New Roman"/>
        <family val="1"/>
      </rPr>
      <t>Calc.: Available Heat to the Process (percent) – This equals the total heat of combustion minus the sensible and latent heat contained in the flue gases. In this calculator the effect of excess air is ignored. (The justification and documentation of this calculation are provided in the workpaper.</t>
    </r>
    <r>
      <rPr>
        <b/>
        <sz val="11"/>
        <rFont val="Times New Roman"/>
        <family val="1"/>
      </rPr>
      <t>)</t>
    </r>
  </si>
  <si>
    <r>
      <t>13.</t>
    </r>
    <r>
      <rPr>
        <sz val="7"/>
        <rFont val="Times New Roman"/>
        <family val="1"/>
      </rPr>
      <t xml:space="preserve">  </t>
    </r>
    <r>
      <rPr>
        <sz val="11"/>
        <rFont val="Times New Roman"/>
        <family val="1"/>
      </rPr>
      <t>Calc.: Heat loss (Btu/sq.ft.) – Estimated heat loss per square foot based on the difference between the furnace surface temperature and ambient conditions (explanation in the Workpaper</t>
    </r>
    <r>
      <rPr>
        <b/>
        <sz val="11"/>
        <rFont val="Times New Roman"/>
        <family val="1"/>
      </rPr>
      <t>).</t>
    </r>
  </si>
  <si>
    <r>
      <t>12.</t>
    </r>
    <r>
      <rPr>
        <sz val="7"/>
        <rFont val="Times New Roman"/>
        <family val="1"/>
      </rPr>
      <t xml:space="preserve">  </t>
    </r>
    <r>
      <rPr>
        <sz val="11"/>
        <rFont val="Times New Roman"/>
        <family val="1"/>
      </rPr>
      <t>Calc.: Available Heat to the Process (percent) – This equals the total heat of combustion minus the sensible and latent heat contained in the flue gases. In this calculator the effect of excess air is ignored. (The justification and documentation of this calculation are provided in the workpaper.</t>
    </r>
    <r>
      <rPr>
        <b/>
        <sz val="11"/>
        <rFont val="Times New Roman"/>
        <family val="1"/>
      </rPr>
      <t>)</t>
    </r>
  </si>
  <si>
    <t>Other</t>
  </si>
  <si>
    <t>Enter value corresponding to material selected</t>
  </si>
  <si>
    <t>Disclaimer</t>
  </si>
  <si>
    <t xml:space="preserve">The Gas Company has made reasonable efforts to ensure all information is correct; however, neither The Gas Company's publication nor verbal representations thereof constitutes any statement, recommendation, endorsement, approval or guaranty (either express or implied) of any product or service.  Moreover, The Gas Company shall not be responsible for errors or omissions in this publication, for claims or damages relating to the use thereof, even if it has been advised of the possibility of such damages. </t>
  </si>
  <si>
    <t>Charge preheat temp (F)</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</si>
</sst>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_(&quot;$&quot;* #,##0_);_(&quot;$&quot;* \(#,##0\);_(&quot;$&quot;* &quot;-&quot;??_);_(@_)"/>
    <numFmt numFmtId="168" formatCode="#,##0.0"/>
    <numFmt numFmtId="169" formatCode="0.00000000"/>
    <numFmt numFmtId="170" formatCode="0.000000000"/>
    <numFmt numFmtId="171" formatCode="0.0000000"/>
    <numFmt numFmtId="172" formatCode="0.000000"/>
    <numFmt numFmtId="173" formatCode="0.00000"/>
    <numFmt numFmtId="174" formatCode="0.00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 numFmtId="180" formatCode="&quot;$&quot;#,##0"/>
    <numFmt numFmtId="181" formatCode="_(* #,##0_);_(* \(#,##0\);_(* &quot;-&quot;??_);_(@_)"/>
    <numFmt numFmtId="182" formatCode="_(&quot;$&quot;* #,##0.0000_);_(&quot;$&quot;* \(#,##0.0000\);_(&quot;$&quot;* &quot;-&quot;??_);_(@_)"/>
    <numFmt numFmtId="183" formatCode="_(* #,##0.0000_);_(* \(#,##0.0000\);_(* &quot;-&quot;??_);_(@_)"/>
    <numFmt numFmtId="184" formatCode="0\ &quot;o&quot;"/>
    <numFmt numFmtId="185" formatCode="0&quot;o&quot;"/>
    <numFmt numFmtId="186" formatCode="_(* #,##0.0_);_(* \(#,##0.0\);_(* &quot;-&quot;??_);_(@_)"/>
    <numFmt numFmtId="187" formatCode="_(&quot;$&quot;* #,##0.0_);_(&quot;$&quot;* \(#,##0.0\);_(&quot;$&quot;* &quot;-&quot;??_);_(@_)"/>
    <numFmt numFmtId="188" formatCode="_(* #,##0.000_);_(* \(#,##0.000\);_(* &quot;-&quot;??_);_(@_)"/>
    <numFmt numFmtId="189" formatCode="_(&quot;$&quot;* #,##0.000_);_(&quot;$&quot;* \(#,##0.000\);_(&quot;$&quot;* &quot;-&quot;??_);_(@_)"/>
    <numFmt numFmtId="190" formatCode="&quot;$&quot;#,##0.0_);\(&quot;$&quot;#,##0.0\)"/>
    <numFmt numFmtId="191" formatCode="0.000%"/>
    <numFmt numFmtId="192" formatCode="#,##0.000"/>
  </numFmts>
  <fonts count="31">
    <font>
      <sz val="10"/>
      <name val="Arial"/>
      <family val="0"/>
    </font>
    <font>
      <sz val="24"/>
      <name val="Arial"/>
      <family val="0"/>
    </font>
    <font>
      <sz val="12"/>
      <name val="Arial"/>
      <family val="2"/>
    </font>
    <font>
      <sz val="10"/>
      <color indexed="12"/>
      <name val="Arial"/>
      <family val="0"/>
    </font>
    <font>
      <b/>
      <sz val="10"/>
      <name val="Arial"/>
      <family val="2"/>
    </font>
    <font>
      <sz val="8"/>
      <name val="Arial"/>
      <family val="0"/>
    </font>
    <font>
      <sz val="20"/>
      <name val="Arial"/>
      <family val="0"/>
    </font>
    <font>
      <u val="single"/>
      <sz val="7.5"/>
      <color indexed="12"/>
      <name val="Arial"/>
      <family val="0"/>
    </font>
    <font>
      <u val="single"/>
      <sz val="7.5"/>
      <color indexed="36"/>
      <name val="Arial"/>
      <family val="0"/>
    </font>
    <font>
      <b/>
      <sz val="12"/>
      <color indexed="9"/>
      <name val="Arial"/>
      <family val="2"/>
    </font>
    <font>
      <sz val="11"/>
      <name val="Times New Roman"/>
      <family val="1"/>
    </font>
    <font>
      <i/>
      <sz val="11"/>
      <name val="Times New Roman"/>
      <family val="1"/>
    </font>
    <font>
      <sz val="7"/>
      <name val="Times New Roman"/>
      <family val="1"/>
    </font>
    <font>
      <sz val="10"/>
      <name val="Times New Roman"/>
      <family val="1"/>
    </font>
    <font>
      <b/>
      <sz val="11"/>
      <name val="Times New Roman"/>
      <family val="1"/>
    </font>
    <font>
      <b/>
      <sz val="12"/>
      <name val="Arial"/>
      <family val="0"/>
    </font>
    <font>
      <sz val="14"/>
      <color indexed="18"/>
      <name val="Arial"/>
      <family val="0"/>
    </font>
    <font>
      <sz val="24"/>
      <color indexed="18"/>
      <name val="Arial"/>
      <family val="0"/>
    </font>
    <font>
      <sz val="10"/>
      <color indexed="18"/>
      <name val="Arial"/>
      <family val="0"/>
    </font>
    <font>
      <sz val="11.75"/>
      <name val="Arial"/>
      <family val="0"/>
    </font>
    <font>
      <sz val="14.75"/>
      <name val="Arial"/>
      <family val="0"/>
    </font>
    <font>
      <sz val="14"/>
      <name val="Tahoma"/>
      <family val="0"/>
    </font>
    <font>
      <sz val="10"/>
      <name val="Tahoma"/>
      <family val="2"/>
    </font>
    <font>
      <sz val="9"/>
      <name val="Verdana"/>
      <family val="2"/>
    </font>
    <font>
      <vertAlign val="superscript"/>
      <sz val="11"/>
      <name val="Times New Roman"/>
      <family val="1"/>
    </font>
    <font>
      <vertAlign val="subscript"/>
      <sz val="11"/>
      <name val="Times New Roman"/>
      <family val="1"/>
    </font>
    <font>
      <sz val="18"/>
      <color indexed="18"/>
      <name val="Arial"/>
      <family val="0"/>
    </font>
    <font>
      <vertAlign val="superscript"/>
      <sz val="10"/>
      <name val="Arial"/>
      <family val="2"/>
    </font>
    <font>
      <sz val="11"/>
      <color indexed="18"/>
      <name val="Arial"/>
      <family val="2"/>
    </font>
    <font>
      <vertAlign val="superscript"/>
      <sz val="11"/>
      <color indexed="18"/>
      <name val="Arial"/>
      <family val="2"/>
    </font>
    <font>
      <b/>
      <sz val="8"/>
      <name val="Arial"/>
      <family val="2"/>
    </font>
  </fonts>
  <fills count="8">
    <fill>
      <patternFill/>
    </fill>
    <fill>
      <patternFill patternType="gray125"/>
    </fill>
    <fill>
      <patternFill patternType="solid">
        <fgColor indexed="22"/>
        <bgColor indexed="64"/>
      </patternFill>
    </fill>
    <fill>
      <patternFill patternType="solid">
        <fgColor indexed="18"/>
        <bgColor indexed="64"/>
      </patternFill>
    </fill>
    <fill>
      <patternFill patternType="solid">
        <fgColor indexed="9"/>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s>
  <borders count="50">
    <border>
      <left/>
      <right/>
      <top/>
      <bottom/>
      <diagonal/>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style="medium"/>
      <right>
        <color indexed="63"/>
      </right>
      <top>
        <color indexed="63"/>
      </top>
      <bottom>
        <color indexed="63"/>
      </bottom>
    </border>
    <border>
      <left style="medium"/>
      <right style="thin"/>
      <top>
        <color indexed="63"/>
      </top>
      <bottom style="thin"/>
    </border>
    <border>
      <left style="thin"/>
      <right style="thin"/>
      <top>
        <color indexed="63"/>
      </top>
      <bottom style="thin"/>
    </border>
    <border>
      <left>
        <color indexed="63"/>
      </left>
      <right style="medium"/>
      <top>
        <color indexed="63"/>
      </top>
      <bottom>
        <color indexed="63"/>
      </bottom>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medium"/>
      <bottom style="medium"/>
    </border>
    <border>
      <left>
        <color indexed="63"/>
      </left>
      <right style="medium"/>
      <top>
        <color indexed="63"/>
      </top>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medium"/>
      <top style="thin"/>
      <bottom style="thin"/>
    </border>
    <border>
      <left>
        <color indexed="63"/>
      </left>
      <right style="medium"/>
      <top style="thin"/>
      <bottom>
        <color indexed="63"/>
      </bottom>
    </border>
    <border>
      <left style="thin"/>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style="medium"/>
      <bottom style="thin"/>
    </border>
    <border>
      <left>
        <color indexed="63"/>
      </left>
      <right style="thin"/>
      <top>
        <color indexed="63"/>
      </top>
      <bottom style="thin"/>
    </border>
    <border>
      <left style="thin"/>
      <right style="medium"/>
      <top style="thin"/>
      <bottom>
        <color indexed="63"/>
      </bottom>
    </border>
    <border>
      <left style="thin"/>
      <right style="medium"/>
      <top>
        <color indexed="63"/>
      </top>
      <bottom style="thin"/>
    </border>
    <border>
      <left>
        <color indexed="63"/>
      </left>
      <right style="medium"/>
      <top>
        <color indexed="63"/>
      </top>
      <bottom style="thin"/>
    </border>
    <border>
      <left>
        <color indexed="63"/>
      </left>
      <right style="medium"/>
      <top style="thin"/>
      <bottom style="medium"/>
    </border>
    <border>
      <left>
        <color indexed="63"/>
      </left>
      <right>
        <color indexed="63"/>
      </right>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style="medium"/>
      <bottom>
        <color indexed="63"/>
      </bottom>
    </border>
    <border>
      <left style="medium"/>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style="thin"/>
      <top style="thin"/>
      <bottom style="thin"/>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276">
    <xf numFmtId="0" fontId="0" fillId="0" borderId="0" xfId="0" applyAlignment="1">
      <alignment/>
    </xf>
    <xf numFmtId="0" fontId="1" fillId="0" borderId="0" xfId="0" applyFont="1" applyAlignment="1">
      <alignment vertical="top"/>
    </xf>
    <xf numFmtId="0" fontId="0" fillId="0" borderId="0" xfId="0" applyAlignment="1">
      <alignment vertical="top"/>
    </xf>
    <xf numFmtId="0" fontId="0" fillId="0" borderId="0" xfId="0" applyAlignment="1">
      <alignment vertical="top" wrapText="1"/>
    </xf>
    <xf numFmtId="0" fontId="0" fillId="0" borderId="0" xfId="0" applyFont="1" applyAlignment="1">
      <alignment/>
    </xf>
    <xf numFmtId="0" fontId="1" fillId="0" borderId="0" xfId="0" applyFont="1" applyAlignment="1">
      <alignment horizontal="center" vertical="top"/>
    </xf>
    <xf numFmtId="0" fontId="11" fillId="0" borderId="0" xfId="0" applyFont="1" applyAlignment="1">
      <alignment horizontal="justify"/>
    </xf>
    <xf numFmtId="0" fontId="10" fillId="0" borderId="0" xfId="0" applyFont="1" applyAlignment="1">
      <alignment horizontal="justify"/>
    </xf>
    <xf numFmtId="4" fontId="0" fillId="2" borderId="1"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center" vertical="center" wrapText="1"/>
      <protection locked="0"/>
    </xf>
    <xf numFmtId="3" fontId="3" fillId="0" borderId="3" xfId="0" applyNumberFormat="1" applyFont="1" applyFill="1" applyBorder="1" applyAlignment="1" applyProtection="1">
      <alignment horizontal="center" vertical="center" wrapText="1"/>
      <protection locked="0"/>
    </xf>
    <xf numFmtId="166" fontId="3" fillId="0" borderId="3" xfId="21" applyNumberFormat="1" applyFont="1" applyFill="1" applyBorder="1" applyAlignment="1" applyProtection="1">
      <alignment horizontal="center" vertical="center" wrapText="1"/>
      <protection locked="0"/>
    </xf>
    <xf numFmtId="0" fontId="1" fillId="0" borderId="0" xfId="0" applyFont="1" applyAlignment="1" applyProtection="1">
      <alignment vertical="top"/>
      <protection/>
    </xf>
    <xf numFmtId="2" fontId="1" fillId="0" borderId="0" xfId="0" applyNumberFormat="1" applyFont="1" applyAlignment="1" applyProtection="1">
      <alignment vertical="top"/>
      <protection/>
    </xf>
    <xf numFmtId="0" fontId="3" fillId="0" borderId="0" xfId="0" applyFont="1" applyAlignment="1" applyProtection="1">
      <alignment vertical="top"/>
      <protection/>
    </xf>
    <xf numFmtId="0" fontId="4" fillId="0" borderId="4" xfId="0" applyFont="1" applyFill="1" applyBorder="1" applyAlignment="1" applyProtection="1">
      <alignment horizontal="center" vertical="center"/>
      <protection/>
    </xf>
    <xf numFmtId="0" fontId="3" fillId="0" borderId="0" xfId="0" applyFont="1" applyFill="1" applyAlignment="1" applyProtection="1">
      <alignment vertical="top"/>
      <protection/>
    </xf>
    <xf numFmtId="0" fontId="15" fillId="0" borderId="4" xfId="0" applyFont="1" applyFill="1" applyBorder="1" applyAlignment="1" applyProtection="1">
      <alignment horizontal="center" vertical="center"/>
      <protection/>
    </xf>
    <xf numFmtId="0" fontId="3" fillId="0" borderId="0" xfId="0" applyFont="1" applyAlignment="1" applyProtection="1">
      <alignment vertical="top"/>
      <protection/>
    </xf>
    <xf numFmtId="3" fontId="0" fillId="0" borderId="5" xfId="0" applyNumberFormat="1" applyFont="1" applyFill="1" applyBorder="1" applyAlignment="1" applyProtection="1">
      <alignment horizontal="center" vertical="center" wrapText="1"/>
      <protection/>
    </xf>
    <xf numFmtId="3" fontId="0" fillId="0" borderId="6" xfId="0" applyNumberFormat="1" applyFont="1" applyFill="1" applyBorder="1" applyAlignment="1" applyProtection="1">
      <alignment horizontal="left" vertical="center" wrapText="1"/>
      <protection/>
    </xf>
    <xf numFmtId="0" fontId="0" fillId="3" borderId="7" xfId="0" applyFont="1" applyFill="1" applyBorder="1" applyAlignment="1" applyProtection="1">
      <alignment horizontal="center" vertical="center" wrapText="1"/>
      <protection/>
    </xf>
    <xf numFmtId="0" fontId="0" fillId="0" borderId="0" xfId="0" applyFont="1" applyAlignment="1" applyProtection="1">
      <alignment vertical="center"/>
      <protection/>
    </xf>
    <xf numFmtId="0" fontId="3" fillId="0" borderId="0" xfId="0" applyFont="1" applyAlignment="1" applyProtection="1">
      <alignment vertical="center"/>
      <protection/>
    </xf>
    <xf numFmtId="3" fontId="0" fillId="0" borderId="8" xfId="0" applyNumberFormat="1" applyFont="1" applyFill="1" applyBorder="1" applyAlignment="1" applyProtection="1">
      <alignment horizontal="center" vertical="center" wrapText="1"/>
      <protection/>
    </xf>
    <xf numFmtId="3" fontId="0" fillId="0" borderId="1" xfId="0" applyNumberFormat="1" applyFont="1" applyFill="1" applyBorder="1" applyAlignment="1" applyProtection="1">
      <alignment horizontal="left" vertical="center" wrapText="1"/>
      <protection/>
    </xf>
    <xf numFmtId="166" fontId="0" fillId="3" borderId="7" xfId="0" applyNumberFormat="1" applyFont="1" applyFill="1" applyBorder="1" applyAlignment="1" applyProtection="1">
      <alignment vertical="center" wrapText="1"/>
      <protection/>
    </xf>
    <xf numFmtId="0" fontId="0" fillId="0" borderId="0" xfId="0" applyAlignment="1" applyProtection="1">
      <alignment vertical="top"/>
      <protection/>
    </xf>
    <xf numFmtId="3" fontId="0" fillId="2" borderId="8" xfId="0" applyNumberFormat="1" applyFont="1" applyFill="1" applyBorder="1" applyAlignment="1" applyProtection="1">
      <alignment horizontal="center" vertical="center" wrapText="1"/>
      <protection/>
    </xf>
    <xf numFmtId="0" fontId="0" fillId="2" borderId="1" xfId="0" applyFont="1" applyFill="1" applyBorder="1" applyAlignment="1" applyProtection="1">
      <alignment horizontal="left" vertical="center"/>
      <protection/>
    </xf>
    <xf numFmtId="3" fontId="0" fillId="2" borderId="3" xfId="0" applyNumberFormat="1" applyFont="1" applyFill="1" applyBorder="1" applyAlignment="1" applyProtection="1">
      <alignment horizontal="center" vertical="center" wrapText="1" shrinkToFit="1"/>
      <protection/>
    </xf>
    <xf numFmtId="0" fontId="0" fillId="3" borderId="7" xfId="0" applyFont="1" applyFill="1" applyBorder="1" applyAlignment="1" applyProtection="1">
      <alignment horizontal="center" vertical="center" wrapText="1" shrinkToFit="1"/>
      <protection/>
    </xf>
    <xf numFmtId="0" fontId="0" fillId="0" borderId="0" xfId="0" applyAlignment="1" applyProtection="1">
      <alignment vertical="center"/>
      <protection/>
    </xf>
    <xf numFmtId="3" fontId="0" fillId="2" borderId="9" xfId="0" applyNumberFormat="1" applyFont="1" applyFill="1" applyBorder="1" applyAlignment="1" applyProtection="1">
      <alignment horizontal="center" vertical="center" wrapText="1"/>
      <protection/>
    </xf>
    <xf numFmtId="3" fontId="0" fillId="2" borderId="10" xfId="0" applyNumberFormat="1" applyFont="1" applyFill="1" applyBorder="1" applyAlignment="1" applyProtection="1">
      <alignment horizontal="left" vertical="center" wrapText="1"/>
      <protection/>
    </xf>
    <xf numFmtId="3" fontId="0" fillId="2" borderId="11" xfId="0" applyNumberFormat="1" applyFont="1" applyFill="1" applyBorder="1" applyAlignment="1" applyProtection="1">
      <alignment horizontal="center" vertical="center" wrapText="1"/>
      <protection/>
    </xf>
    <xf numFmtId="0" fontId="0" fillId="3" borderId="7" xfId="0" applyFont="1" applyFill="1" applyBorder="1" applyAlignment="1" applyProtection="1">
      <alignment vertical="center" wrapText="1"/>
      <protection/>
    </xf>
    <xf numFmtId="3" fontId="0" fillId="2" borderId="1" xfId="0" applyNumberFormat="1" applyFont="1" applyFill="1" applyBorder="1" applyAlignment="1" applyProtection="1">
      <alignment horizontal="left" vertical="center" wrapText="1"/>
      <protection/>
    </xf>
    <xf numFmtId="3" fontId="0" fillId="0" borderId="0" xfId="0" applyNumberFormat="1" applyAlignment="1" applyProtection="1">
      <alignment vertical="top"/>
      <protection/>
    </xf>
    <xf numFmtId="3" fontId="9" fillId="3" borderId="12" xfId="0" applyNumberFormat="1" applyFont="1" applyFill="1" applyBorder="1" applyAlignment="1" applyProtection="1">
      <alignment horizontal="left" vertical="center" wrapText="1"/>
      <protection/>
    </xf>
    <xf numFmtId="3" fontId="0" fillId="0" borderId="0" xfId="0" applyNumberFormat="1" applyAlignment="1" applyProtection="1" quotePrefix="1">
      <alignment vertical="top"/>
      <protection/>
    </xf>
    <xf numFmtId="180" fontId="9" fillId="3" borderId="13" xfId="0" applyNumberFormat="1" applyFont="1" applyFill="1" applyBorder="1" applyAlignment="1" applyProtection="1">
      <alignment horizontal="center" vertical="center" wrapText="1"/>
      <protection/>
    </xf>
    <xf numFmtId="0" fontId="0" fillId="0" borderId="0" xfId="0" applyAlignment="1" applyProtection="1">
      <alignment horizontal="left" vertical="center"/>
      <protection/>
    </xf>
    <xf numFmtId="0" fontId="0" fillId="0" borderId="14" xfId="0" applyBorder="1" applyAlignment="1" applyProtection="1">
      <alignment horizontal="left" vertical="top"/>
      <protection/>
    </xf>
    <xf numFmtId="0" fontId="0" fillId="0" borderId="15" xfId="0" applyBorder="1" applyAlignment="1" applyProtection="1">
      <alignment vertical="top"/>
      <protection/>
    </xf>
    <xf numFmtId="0" fontId="0" fillId="0" borderId="16" xfId="0" applyBorder="1" applyAlignment="1" applyProtection="1">
      <alignment vertical="top"/>
      <protection/>
    </xf>
    <xf numFmtId="2" fontId="0" fillId="0" borderId="4" xfId="0" applyNumberFormat="1" applyBorder="1" applyAlignment="1" applyProtection="1">
      <alignment horizontal="center" vertical="top"/>
      <protection/>
    </xf>
    <xf numFmtId="0" fontId="0" fillId="0" borderId="17" xfId="0" applyBorder="1" applyAlignment="1" applyProtection="1">
      <alignment vertical="top"/>
      <protection/>
    </xf>
    <xf numFmtId="3" fontId="0" fillId="2" borderId="18" xfId="0" applyNumberFormat="1" applyFont="1" applyFill="1" applyBorder="1" applyAlignment="1" applyProtection="1">
      <alignment horizontal="center" vertical="center" wrapText="1"/>
      <protection/>
    </xf>
    <xf numFmtId="179" fontId="3" fillId="0" borderId="6" xfId="0" applyNumberFormat="1" applyFont="1" applyFill="1" applyBorder="1" applyAlignment="1" applyProtection="1">
      <alignment horizontal="center" vertical="center" wrapText="1"/>
      <protection locked="0"/>
    </xf>
    <xf numFmtId="9" fontId="3" fillId="0" borderId="18" xfId="21" applyFont="1" applyFill="1" applyBorder="1" applyAlignment="1" applyProtection="1">
      <alignment horizontal="center" vertical="center" wrapText="1"/>
      <protection locked="0"/>
    </xf>
    <xf numFmtId="3" fontId="9" fillId="3" borderId="0" xfId="0" applyNumberFormat="1" applyFont="1" applyFill="1" applyBorder="1" applyAlignment="1" applyProtection="1">
      <alignment horizontal="center" vertical="center" wrapText="1"/>
      <protection/>
    </xf>
    <xf numFmtId="3" fontId="9" fillId="3" borderId="7" xfId="0" applyNumberFormat="1" applyFont="1" applyFill="1" applyBorder="1" applyAlignment="1" applyProtection="1">
      <alignment horizontal="center" vertical="center" wrapText="1"/>
      <protection/>
    </xf>
    <xf numFmtId="3" fontId="0" fillId="2" borderId="1" xfId="0" applyNumberFormat="1" applyFont="1" applyFill="1" applyBorder="1" applyAlignment="1" applyProtection="1">
      <alignment horizontal="center" vertical="center" wrapText="1"/>
      <protection/>
    </xf>
    <xf numFmtId="9" fontId="0" fillId="2" borderId="19" xfId="0" applyNumberFormat="1" applyFont="1" applyFill="1" applyBorder="1" applyAlignment="1" applyProtection="1">
      <alignment horizontal="center"/>
      <protection/>
    </xf>
    <xf numFmtId="3" fontId="9" fillId="3" borderId="4" xfId="0" applyNumberFormat="1" applyFont="1" applyFill="1" applyBorder="1" applyAlignment="1" applyProtection="1">
      <alignment horizontal="left" vertical="center" wrapText="1"/>
      <protection/>
    </xf>
    <xf numFmtId="10" fontId="0" fillId="3" borderId="20" xfId="21" applyNumberFormat="1" applyFont="1" applyFill="1" applyBorder="1" applyAlignment="1" applyProtection="1">
      <alignment horizontal="center" vertical="center" wrapText="1"/>
      <protection/>
    </xf>
    <xf numFmtId="0" fontId="0" fillId="0" borderId="14" xfId="0" applyBorder="1" applyAlignment="1" applyProtection="1">
      <alignment horizontal="center" vertical="top"/>
      <protection/>
    </xf>
    <xf numFmtId="0" fontId="0" fillId="0" borderId="15" xfId="0" applyBorder="1" applyAlignment="1" applyProtection="1">
      <alignment horizontal="center" vertical="top"/>
      <protection/>
    </xf>
    <xf numFmtId="2" fontId="0" fillId="0" borderId="16" xfId="0" applyNumberFormat="1" applyBorder="1" applyAlignment="1" applyProtection="1" quotePrefix="1">
      <alignment horizontal="center" vertical="top"/>
      <protection/>
    </xf>
    <xf numFmtId="2" fontId="0" fillId="0" borderId="16" xfId="0" applyNumberFormat="1" applyBorder="1" applyAlignment="1" applyProtection="1">
      <alignment horizontal="center" vertical="top"/>
      <protection/>
    </xf>
    <xf numFmtId="2" fontId="0" fillId="0" borderId="17" xfId="0" applyNumberFormat="1" applyBorder="1" applyAlignment="1" applyProtection="1">
      <alignment horizontal="center" vertical="top"/>
      <protection/>
    </xf>
    <xf numFmtId="0" fontId="0" fillId="0" borderId="4" xfId="0" applyBorder="1" applyAlignment="1" applyProtection="1">
      <alignment horizontal="center" vertical="top"/>
      <protection/>
    </xf>
    <xf numFmtId="0" fontId="13" fillId="0" borderId="0" xfId="0" applyFont="1" applyBorder="1" applyAlignment="1" applyProtection="1">
      <alignment vertical="top" wrapText="1"/>
      <protection/>
    </xf>
    <xf numFmtId="0" fontId="13" fillId="0" borderId="0" xfId="0" applyFont="1" applyBorder="1" applyAlignment="1" applyProtection="1">
      <alignment wrapText="1"/>
      <protection/>
    </xf>
    <xf numFmtId="2" fontId="0" fillId="0" borderId="15" xfId="0" applyNumberFormat="1" applyBorder="1" applyAlignment="1" applyProtection="1">
      <alignment horizontal="center" vertical="top"/>
      <protection/>
    </xf>
    <xf numFmtId="3" fontId="0" fillId="0" borderId="9" xfId="0" applyNumberFormat="1" applyFont="1" applyFill="1" applyBorder="1" applyAlignment="1" applyProtection="1">
      <alignment horizontal="center" vertical="center" wrapText="1"/>
      <protection/>
    </xf>
    <xf numFmtId="164" fontId="0" fillId="2" borderId="19" xfId="0" applyNumberFormat="1" applyFont="1" applyFill="1" applyBorder="1" applyAlignment="1" applyProtection="1">
      <alignment horizontal="center"/>
      <protection/>
    </xf>
    <xf numFmtId="3" fontId="0" fillId="4" borderId="8" xfId="0" applyNumberFormat="1" applyFont="1" applyFill="1" applyBorder="1" applyAlignment="1" applyProtection="1">
      <alignment horizontal="center" vertical="center" wrapText="1"/>
      <protection/>
    </xf>
    <xf numFmtId="0" fontId="3" fillId="4" borderId="1" xfId="0" applyFont="1" applyFill="1" applyBorder="1" applyAlignment="1" applyProtection="1">
      <alignment horizontal="center" vertical="center"/>
      <protection locked="0"/>
    </xf>
    <xf numFmtId="0" fontId="0" fillId="0" borderId="0" xfId="0" applyFont="1" applyAlignment="1" applyProtection="1">
      <alignment horizontal="left"/>
      <protection/>
    </xf>
    <xf numFmtId="0" fontId="0" fillId="0" borderId="0" xfId="0" applyAlignment="1" applyProtection="1">
      <alignment horizontal="left"/>
      <protection/>
    </xf>
    <xf numFmtId="0" fontId="3" fillId="0" borderId="0" xfId="0" applyFont="1" applyAlignment="1" applyProtection="1">
      <alignment vertical="center"/>
      <protection/>
    </xf>
    <xf numFmtId="0" fontId="0" fillId="0" borderId="0" xfId="0" applyFont="1" applyAlignment="1" applyProtection="1">
      <alignment vertical="center"/>
      <protection/>
    </xf>
    <xf numFmtId="0" fontId="0" fillId="0" borderId="4" xfId="0" applyFont="1" applyFill="1" applyBorder="1" applyAlignment="1" applyProtection="1">
      <alignment horizontal="left" vertical="center"/>
      <protection/>
    </xf>
    <xf numFmtId="0" fontId="0" fillId="0" borderId="0" xfId="0" applyFont="1" applyAlignment="1" applyProtection="1">
      <alignment horizontal="left"/>
      <protection/>
    </xf>
    <xf numFmtId="4" fontId="0" fillId="3" borderId="20" xfId="0" applyNumberFormat="1" applyFont="1" applyFill="1" applyBorder="1" applyAlignment="1" applyProtection="1">
      <alignment horizontal="center" vertical="center" wrapText="1"/>
      <protection/>
    </xf>
    <xf numFmtId="0" fontId="0" fillId="0" borderId="0" xfId="0" applyBorder="1" applyAlignment="1" applyProtection="1">
      <alignment vertical="top"/>
      <protection/>
    </xf>
    <xf numFmtId="0" fontId="0" fillId="0" borderId="0" xfId="0" applyFont="1" applyFill="1" applyBorder="1" applyAlignment="1" applyProtection="1">
      <alignment horizontal="left" vertical="center"/>
      <protection/>
    </xf>
    <xf numFmtId="0" fontId="0" fillId="0" borderId="0" xfId="0" applyFont="1" applyFill="1" applyAlignment="1" applyProtection="1">
      <alignment vertical="center" wrapText="1"/>
      <protection/>
    </xf>
    <xf numFmtId="0" fontId="3"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Font="1" applyBorder="1" applyAlignment="1" applyProtection="1">
      <alignment vertical="center"/>
      <protection/>
    </xf>
    <xf numFmtId="3" fontId="0" fillId="2" borderId="6" xfId="0" applyNumberFormat="1" applyFont="1" applyFill="1" applyBorder="1" applyAlignment="1" applyProtection="1">
      <alignment horizontal="left" vertical="center" wrapText="1"/>
      <protection/>
    </xf>
    <xf numFmtId="3" fontId="3" fillId="4" borderId="1" xfId="0" applyNumberFormat="1" applyFont="1" applyFill="1" applyBorder="1" applyAlignment="1" applyProtection="1">
      <alignment horizontal="center" vertical="center"/>
      <protection locked="0"/>
    </xf>
    <xf numFmtId="3" fontId="3" fillId="4" borderId="18" xfId="0" applyNumberFormat="1" applyFont="1" applyFill="1" applyBorder="1" applyAlignment="1" applyProtection="1">
      <alignment horizontal="center" vertical="center"/>
      <protection locked="0"/>
    </xf>
    <xf numFmtId="1" fontId="3" fillId="0" borderId="1" xfId="0" applyNumberFormat="1" applyFont="1" applyFill="1" applyBorder="1" applyAlignment="1" applyProtection="1">
      <alignment horizontal="center" vertical="center" wrapText="1"/>
      <protection locked="0"/>
    </xf>
    <xf numFmtId="2" fontId="3" fillId="0" borderId="1"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3" fontId="3" fillId="0" borderId="1" xfId="0" applyNumberFormat="1" applyFont="1" applyFill="1" applyBorder="1" applyAlignment="1" applyProtection="1">
      <alignment horizontal="center" vertical="center" wrapText="1"/>
      <protection locked="0"/>
    </xf>
    <xf numFmtId="1" fontId="3" fillId="0" borderId="18" xfId="0" applyNumberFormat="1" applyFont="1" applyFill="1" applyBorder="1" applyAlignment="1" applyProtection="1">
      <alignment horizontal="center" vertical="center" wrapText="1"/>
      <protection locked="0"/>
    </xf>
    <xf numFmtId="3" fontId="9" fillId="3" borderId="21" xfId="0" applyNumberFormat="1" applyFont="1" applyFill="1" applyBorder="1" applyAlignment="1" applyProtection="1">
      <alignment horizontal="center" vertical="center" wrapText="1"/>
      <protection/>
    </xf>
    <xf numFmtId="3" fontId="0" fillId="0" borderId="6" xfId="0" applyNumberFormat="1" applyFont="1" applyFill="1" applyBorder="1" applyAlignment="1" applyProtection="1">
      <alignment horizontal="center" vertical="center" wrapText="1"/>
      <protection/>
    </xf>
    <xf numFmtId="0" fontId="0" fillId="3" borderId="21" xfId="0" applyFont="1" applyFill="1" applyBorder="1" applyAlignment="1" applyProtection="1">
      <alignment horizontal="center" vertical="center" wrapText="1"/>
      <protection/>
    </xf>
    <xf numFmtId="3" fontId="0" fillId="0" borderId="1" xfId="0" applyNumberFormat="1" applyFont="1" applyFill="1" applyBorder="1" applyAlignment="1" applyProtection="1">
      <alignment horizontal="center" vertical="center" wrapText="1"/>
      <protection/>
    </xf>
    <xf numFmtId="166" fontId="0" fillId="3" borderId="21" xfId="0" applyNumberFormat="1" applyFont="1" applyFill="1" applyBorder="1" applyAlignment="1" applyProtection="1">
      <alignment vertical="center" wrapText="1"/>
      <protection/>
    </xf>
    <xf numFmtId="0" fontId="0" fillId="3" borderId="21" xfId="0" applyFont="1" applyFill="1" applyBorder="1" applyAlignment="1" applyProtection="1">
      <alignment horizontal="center" vertical="center" wrapText="1" shrinkToFit="1"/>
      <protection/>
    </xf>
    <xf numFmtId="3" fontId="0" fillId="2" borderId="10" xfId="0" applyNumberFormat="1" applyFont="1" applyFill="1" applyBorder="1" applyAlignment="1" applyProtection="1">
      <alignment horizontal="center" vertical="center" wrapText="1"/>
      <protection/>
    </xf>
    <xf numFmtId="0" fontId="0" fillId="3" borderId="21" xfId="0" applyFont="1" applyFill="1" applyBorder="1" applyAlignment="1" applyProtection="1">
      <alignment vertical="center" wrapText="1"/>
      <protection/>
    </xf>
    <xf numFmtId="3" fontId="0" fillId="0" borderId="10" xfId="0" applyNumberFormat="1" applyFont="1" applyFill="1" applyBorder="1" applyAlignment="1" applyProtection="1">
      <alignment horizontal="center" vertical="center" wrapText="1"/>
      <protection/>
    </xf>
    <xf numFmtId="164" fontId="0" fillId="2" borderId="22" xfId="0" applyNumberFormat="1" applyFont="1" applyFill="1" applyBorder="1" applyAlignment="1" applyProtection="1">
      <alignment horizontal="center"/>
      <protection/>
    </xf>
    <xf numFmtId="3" fontId="9" fillId="3" borderId="23" xfId="0" applyNumberFormat="1" applyFont="1" applyFill="1" applyBorder="1" applyAlignment="1" applyProtection="1">
      <alignment horizontal="left" vertical="center" wrapText="1"/>
      <protection/>
    </xf>
    <xf numFmtId="10" fontId="0" fillId="3" borderId="24" xfId="21" applyNumberFormat="1" applyFont="1" applyFill="1" applyBorder="1" applyAlignment="1" applyProtection="1">
      <alignment horizontal="center" vertical="center" wrapText="1"/>
      <protection/>
    </xf>
    <xf numFmtId="3" fontId="9" fillId="3" borderId="25" xfId="0" applyNumberFormat="1" applyFont="1" applyFill="1" applyBorder="1" applyAlignment="1" applyProtection="1">
      <alignment horizontal="left" vertical="center" wrapText="1"/>
      <protection/>
    </xf>
    <xf numFmtId="180" fontId="9" fillId="3" borderId="26" xfId="0" applyNumberFormat="1" applyFont="1" applyFill="1" applyBorder="1" applyAlignment="1" applyProtection="1">
      <alignment horizontal="center" vertical="center" wrapText="1"/>
      <protection/>
    </xf>
    <xf numFmtId="168" fontId="0" fillId="2" borderId="18" xfId="0" applyNumberFormat="1" applyFont="1" applyFill="1" applyBorder="1" applyAlignment="1" applyProtection="1">
      <alignment horizontal="center" vertical="center" wrapText="1"/>
      <protection/>
    </xf>
    <xf numFmtId="0" fontId="0" fillId="0" borderId="0" xfId="0" applyAlignment="1" applyProtection="1">
      <alignment horizontal="left" vertical="top"/>
      <protection/>
    </xf>
    <xf numFmtId="0" fontId="6" fillId="0" borderId="0" xfId="0" applyFont="1" applyAlignment="1" applyProtection="1">
      <alignment horizontal="left" vertical="center"/>
      <protection/>
    </xf>
    <xf numFmtId="0" fontId="1" fillId="0" borderId="0" xfId="0" applyFont="1" applyAlignment="1" applyProtection="1">
      <alignment horizontal="left" vertical="center"/>
      <protection/>
    </xf>
    <xf numFmtId="0" fontId="1" fillId="0" borderId="0" xfId="0" applyFont="1" applyAlignment="1" applyProtection="1">
      <alignment horizontal="left" vertical="top"/>
      <protection/>
    </xf>
    <xf numFmtId="166" fontId="3" fillId="0" borderId="0" xfId="21" applyNumberFormat="1" applyFont="1" applyFill="1" applyBorder="1" applyAlignment="1" applyProtection="1">
      <alignment horizontal="center" vertical="center" wrapText="1"/>
      <protection/>
    </xf>
    <xf numFmtId="9" fontId="0" fillId="2" borderId="3" xfId="21" applyFont="1" applyFill="1" applyBorder="1" applyAlignment="1" applyProtection="1">
      <alignment horizontal="center" vertical="center" wrapText="1"/>
      <protection/>
    </xf>
    <xf numFmtId="168" fontId="0" fillId="2" borderId="3" xfId="0" applyNumberFormat="1" applyFont="1" applyFill="1" applyBorder="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pplyProtection="1">
      <alignment horizontal="left" vertical="top"/>
      <protection/>
    </xf>
    <xf numFmtId="2" fontId="0" fillId="0" borderId="0" xfId="0" applyNumberFormat="1" applyBorder="1" applyAlignment="1" applyProtection="1" quotePrefix="1">
      <alignment horizontal="left" vertical="top"/>
      <protection/>
    </xf>
    <xf numFmtId="3" fontId="0" fillId="3" borderId="27" xfId="15" applyNumberFormat="1" applyFont="1" applyFill="1" applyBorder="1" applyAlignment="1" applyProtection="1">
      <alignment horizontal="center" vertical="center"/>
      <protection/>
    </xf>
    <xf numFmtId="0" fontId="0" fillId="0" borderId="1" xfId="0" applyFont="1" applyBorder="1" applyAlignment="1" applyProtection="1">
      <alignment horizontal="left" vertical="center"/>
      <protection/>
    </xf>
    <xf numFmtId="3" fontId="0" fillId="3" borderId="20" xfId="15" applyNumberFormat="1" applyFont="1" applyFill="1" applyBorder="1" applyAlignment="1" applyProtection="1">
      <alignment horizontal="center" vertical="center"/>
      <protection/>
    </xf>
    <xf numFmtId="0" fontId="0" fillId="3" borderId="28" xfId="0" applyFont="1" applyFill="1" applyBorder="1" applyAlignment="1" applyProtection="1">
      <alignment horizontal="center" vertical="center"/>
      <protection/>
    </xf>
    <xf numFmtId="2" fontId="0" fillId="2" borderId="1" xfId="0" applyNumberFormat="1" applyFont="1" applyFill="1" applyBorder="1" applyAlignment="1" applyProtection="1">
      <alignment horizontal="center" vertical="center"/>
      <protection/>
    </xf>
    <xf numFmtId="0" fontId="0" fillId="3" borderId="29" xfId="0" applyFont="1" applyFill="1" applyBorder="1" applyAlignment="1" applyProtection="1">
      <alignment horizontal="center" vertical="center"/>
      <protection/>
    </xf>
    <xf numFmtId="0" fontId="0" fillId="4" borderId="1" xfId="0" applyFont="1" applyFill="1" applyBorder="1" applyAlignment="1" applyProtection="1">
      <alignment horizontal="left" vertical="center"/>
      <protection/>
    </xf>
    <xf numFmtId="3" fontId="9" fillId="3" borderId="30" xfId="17" applyNumberFormat="1" applyFont="1" applyFill="1" applyBorder="1" applyAlignment="1" applyProtection="1">
      <alignment horizontal="center" vertical="center"/>
      <protection/>
    </xf>
    <xf numFmtId="0" fontId="4" fillId="0" borderId="1" xfId="0" applyFont="1" applyBorder="1" applyAlignment="1" applyProtection="1">
      <alignment horizontal="left"/>
      <protection/>
    </xf>
    <xf numFmtId="0" fontId="0" fillId="0" borderId="1" xfId="0" applyBorder="1" applyAlignment="1" applyProtection="1">
      <alignment horizontal="center"/>
      <protection/>
    </xf>
    <xf numFmtId="0" fontId="0" fillId="0" borderId="0" xfId="0" applyAlignment="1" applyProtection="1">
      <alignment/>
      <protection/>
    </xf>
    <xf numFmtId="0" fontId="0" fillId="0" borderId="1" xfId="0" applyBorder="1" applyAlignment="1" applyProtection="1">
      <alignment horizontal="left"/>
      <protection/>
    </xf>
    <xf numFmtId="43" fontId="0" fillId="0" borderId="1" xfId="15" applyBorder="1" applyAlignment="1" applyProtection="1">
      <alignment horizontal="center"/>
      <protection/>
    </xf>
    <xf numFmtId="0" fontId="0" fillId="0" borderId="0" xfId="0" applyAlignment="1" applyProtection="1">
      <alignment/>
      <protection/>
    </xf>
    <xf numFmtId="0" fontId="0" fillId="0" borderId="1" xfId="0" applyBorder="1" applyAlignment="1" applyProtection="1">
      <alignment horizontal="left" vertical="center" wrapText="1"/>
      <protection/>
    </xf>
    <xf numFmtId="0" fontId="0" fillId="0" borderId="1" xfId="0" applyBorder="1" applyAlignment="1" applyProtection="1">
      <alignment horizontal="center" vertical="center" wrapText="1"/>
      <protection/>
    </xf>
    <xf numFmtId="3" fontId="0" fillId="0" borderId="1" xfId="0" applyNumberFormat="1" applyBorder="1" applyAlignment="1" applyProtection="1">
      <alignment horizontal="center"/>
      <protection/>
    </xf>
    <xf numFmtId="3" fontId="0" fillId="0" borderId="0" xfId="0" applyNumberFormat="1" applyAlignment="1" applyProtection="1">
      <alignment/>
      <protection/>
    </xf>
    <xf numFmtId="0" fontId="2" fillId="0" borderId="31" xfId="0" applyFont="1" applyBorder="1" applyAlignment="1" applyProtection="1">
      <alignment horizontal="center"/>
      <protection/>
    </xf>
    <xf numFmtId="43" fontId="0" fillId="0" borderId="1" xfId="0" applyNumberFormat="1" applyBorder="1" applyAlignment="1" applyProtection="1">
      <alignment horizontal="center"/>
      <protection/>
    </xf>
    <xf numFmtId="43" fontId="0" fillId="0" borderId="0" xfId="0" applyNumberFormat="1" applyAlignment="1" applyProtection="1">
      <alignment vertical="top"/>
      <protection/>
    </xf>
    <xf numFmtId="3" fontId="3" fillId="4" borderId="18" xfId="0" applyNumberFormat="1" applyFont="1" applyFill="1" applyBorder="1" applyAlignment="1" applyProtection="1">
      <alignment horizontal="center" vertical="center" wrapText="1"/>
      <protection locked="0"/>
    </xf>
    <xf numFmtId="3" fontId="3" fillId="3" borderId="18" xfId="15" applyNumberFormat="1" applyFont="1" applyFill="1" applyBorder="1" applyAlignment="1" applyProtection="1">
      <alignment horizontal="center" vertical="center"/>
      <protection/>
    </xf>
    <xf numFmtId="3" fontId="0" fillId="2" borderId="1" xfId="0" applyNumberFormat="1" applyFont="1" applyFill="1" applyBorder="1" applyAlignment="1" applyProtection="1">
      <alignment horizontal="center" vertical="center"/>
      <protection/>
    </xf>
    <xf numFmtId="3" fontId="0" fillId="2" borderId="18" xfId="0" applyNumberFormat="1" applyFont="1" applyFill="1" applyBorder="1" applyAlignment="1" applyProtection="1">
      <alignment horizontal="center" vertical="center"/>
      <protection/>
    </xf>
    <xf numFmtId="0" fontId="3" fillId="0" borderId="0" xfId="0" applyFont="1" applyFill="1" applyBorder="1" applyAlignment="1" applyProtection="1">
      <alignment vertical="top"/>
      <protection/>
    </xf>
    <xf numFmtId="0" fontId="3" fillId="0" borderId="0" xfId="0" applyFont="1" applyBorder="1" applyAlignment="1" applyProtection="1">
      <alignment vertical="top"/>
      <protection/>
    </xf>
    <xf numFmtId="0" fontId="3" fillId="0" borderId="0" xfId="0" applyFont="1" applyBorder="1" applyAlignment="1" applyProtection="1">
      <alignment vertical="top"/>
      <protection/>
    </xf>
    <xf numFmtId="1" fontId="0" fillId="2" borderId="1" xfId="15" applyNumberFormat="1" applyFont="1" applyFill="1" applyBorder="1" applyAlignment="1" applyProtection="1">
      <alignment horizontal="center" vertical="center" wrapText="1"/>
      <protection/>
    </xf>
    <xf numFmtId="1" fontId="4" fillId="3" borderId="27" xfId="0" applyNumberFormat="1" applyFont="1" applyFill="1" applyBorder="1" applyAlignment="1" applyProtection="1">
      <alignment horizontal="center" vertical="center" wrapText="1"/>
      <protection/>
    </xf>
    <xf numFmtId="1" fontId="4" fillId="3" borderId="20" xfId="0" applyNumberFormat="1" applyFont="1" applyFill="1" applyBorder="1" applyAlignment="1" applyProtection="1">
      <alignment horizontal="center" vertical="center" wrapText="1"/>
      <protection/>
    </xf>
    <xf numFmtId="2" fontId="4" fillId="3" borderId="20" xfId="0" applyNumberFormat="1" applyFont="1" applyFill="1" applyBorder="1" applyAlignment="1" applyProtection="1">
      <alignment horizontal="center" vertical="center" wrapText="1"/>
      <protection/>
    </xf>
    <xf numFmtId="2" fontId="0" fillId="3" borderId="20" xfId="21" applyNumberFormat="1" applyFont="1" applyFill="1" applyBorder="1" applyAlignment="1" applyProtection="1">
      <alignment horizontal="center" vertical="center" wrapText="1"/>
      <protection/>
    </xf>
    <xf numFmtId="2" fontId="0" fillId="2" borderId="1" xfId="0" applyNumberFormat="1" applyFont="1" applyFill="1" applyBorder="1" applyAlignment="1" applyProtection="1">
      <alignment horizontal="center" vertical="center" wrapText="1"/>
      <protection/>
    </xf>
    <xf numFmtId="2" fontId="4" fillId="3" borderId="28" xfId="0" applyNumberFormat="1" applyFont="1" applyFill="1" applyBorder="1" applyAlignment="1" applyProtection="1">
      <alignment horizontal="center" vertical="center" wrapText="1"/>
      <protection/>
    </xf>
    <xf numFmtId="1" fontId="3" fillId="3" borderId="1" xfId="0" applyNumberFormat="1" applyFont="1" applyFill="1" applyBorder="1" applyAlignment="1" applyProtection="1">
      <alignment horizontal="center" vertical="center" wrapText="1"/>
      <protection/>
    </xf>
    <xf numFmtId="165" fontId="0" fillId="2" borderId="1" xfId="0" applyNumberFormat="1" applyFont="1" applyFill="1" applyBorder="1" applyAlignment="1" applyProtection="1">
      <alignment horizontal="center" vertical="center"/>
      <protection/>
    </xf>
    <xf numFmtId="165" fontId="0" fillId="2" borderId="18" xfId="0" applyNumberFormat="1" applyFont="1" applyFill="1" applyBorder="1" applyAlignment="1" applyProtection="1">
      <alignment horizontal="center" vertical="center"/>
      <protection/>
    </xf>
    <xf numFmtId="165" fontId="0" fillId="2" borderId="1" xfId="15" applyNumberFormat="1" applyFont="1" applyFill="1" applyBorder="1" applyAlignment="1" applyProtection="1">
      <alignment horizontal="center" vertical="center" wrapText="1"/>
      <protection/>
    </xf>
    <xf numFmtId="165" fontId="0" fillId="2" borderId="18" xfId="15" applyNumberFormat="1" applyFont="1" applyFill="1" applyBorder="1" applyAlignment="1" applyProtection="1">
      <alignment horizontal="center" vertical="center" wrapText="1"/>
      <protection/>
    </xf>
    <xf numFmtId="0" fontId="0" fillId="0" borderId="0" xfId="0" applyAlignment="1" applyProtection="1">
      <alignment horizontal="right" vertical="top"/>
      <protection/>
    </xf>
    <xf numFmtId="0" fontId="4" fillId="0" borderId="0" xfId="0" applyFont="1" applyFill="1" applyBorder="1" applyAlignment="1" applyProtection="1">
      <alignment vertical="center" wrapText="1"/>
      <protection/>
    </xf>
    <xf numFmtId="166" fontId="4" fillId="0" borderId="0" xfId="0" applyNumberFormat="1" applyFont="1" applyFill="1" applyBorder="1" applyAlignment="1" applyProtection="1">
      <alignment horizontal="right" vertical="center" wrapText="1"/>
      <protection/>
    </xf>
    <xf numFmtId="3" fontId="4" fillId="0" borderId="0" xfId="15" applyNumberFormat="1" applyFont="1" applyFill="1" applyBorder="1" applyAlignment="1" applyProtection="1">
      <alignment horizontal="center" vertical="center" wrapText="1"/>
      <protection/>
    </xf>
    <xf numFmtId="0" fontId="4" fillId="0" borderId="0" xfId="0" applyFont="1" applyFill="1" applyBorder="1" applyAlignment="1" applyProtection="1">
      <alignment horizontal="right" vertical="center" wrapText="1"/>
      <protection/>
    </xf>
    <xf numFmtId="183" fontId="4" fillId="0" borderId="0" xfId="15" applyNumberFormat="1" applyFont="1" applyFill="1" applyBorder="1" applyAlignment="1" applyProtection="1">
      <alignment horizontal="right" vertical="center" wrapText="1"/>
      <protection/>
    </xf>
    <xf numFmtId="0" fontId="4" fillId="0" borderId="0" xfId="0" applyFont="1" applyFill="1" applyBorder="1" applyAlignment="1" applyProtection="1">
      <alignment/>
      <protection/>
    </xf>
    <xf numFmtId="0" fontId="4" fillId="0" borderId="0" xfId="0" applyFont="1" applyFill="1" applyBorder="1" applyAlignment="1" applyProtection="1">
      <alignment horizontal="right"/>
      <protection/>
    </xf>
    <xf numFmtId="2" fontId="4" fillId="0" borderId="0" xfId="0" applyNumberFormat="1" applyFont="1" applyFill="1" applyBorder="1" applyAlignment="1" applyProtection="1">
      <alignment horizontal="right"/>
      <protection/>
    </xf>
    <xf numFmtId="0" fontId="4" fillId="0" borderId="1" xfId="0" applyFont="1" applyFill="1" applyBorder="1" applyAlignment="1" applyProtection="1">
      <alignment horizontal="left" vertical="center" indent="1"/>
      <protection/>
    </xf>
    <xf numFmtId="1" fontId="4" fillId="5" borderId="1" xfId="0" applyNumberFormat="1" applyFont="1" applyFill="1" applyBorder="1" applyAlignment="1" applyProtection="1">
      <alignment horizontal="right" vertical="center"/>
      <protection/>
    </xf>
    <xf numFmtId="0" fontId="0" fillId="0" borderId="0" xfId="0" applyBorder="1" applyAlignment="1" applyProtection="1">
      <alignment horizontal="right"/>
      <protection/>
    </xf>
    <xf numFmtId="0" fontId="23" fillId="0" borderId="0" xfId="0" applyFont="1" applyAlignment="1" applyProtection="1">
      <alignment/>
      <protection/>
    </xf>
    <xf numFmtId="0" fontId="0" fillId="0" borderId="1" xfId="0" applyFont="1" applyFill="1" applyBorder="1" applyAlignment="1" applyProtection="1">
      <alignment horizontal="left" vertical="center" wrapText="1" indent="1"/>
      <protection/>
    </xf>
    <xf numFmtId="1" fontId="4" fillId="3" borderId="1" xfId="0" applyNumberFormat="1" applyFont="1" applyFill="1" applyBorder="1" applyAlignment="1" applyProtection="1">
      <alignment horizontal="center" vertical="center" wrapText="1"/>
      <protection/>
    </xf>
    <xf numFmtId="2" fontId="4" fillId="3" borderId="1" xfId="0" applyNumberFormat="1" applyFont="1" applyFill="1" applyBorder="1" applyAlignment="1" applyProtection="1">
      <alignment horizontal="center" vertical="center" wrapText="1"/>
      <protection/>
    </xf>
    <xf numFmtId="2" fontId="0" fillId="2" borderId="1" xfId="21" applyNumberFormat="1" applyFont="1" applyFill="1" applyBorder="1" applyAlignment="1" applyProtection="1">
      <alignment horizontal="center" vertical="center" wrapText="1"/>
      <protection/>
    </xf>
    <xf numFmtId="0" fontId="0" fillId="3" borderId="1" xfId="0" applyFill="1" applyBorder="1" applyAlignment="1" applyProtection="1">
      <alignment vertical="top"/>
      <protection/>
    </xf>
    <xf numFmtId="1" fontId="0" fillId="2" borderId="1" xfId="0" applyNumberFormat="1" applyFont="1" applyFill="1" applyBorder="1" applyAlignment="1" applyProtection="1">
      <alignment horizontal="center" vertical="center" wrapText="1"/>
      <protection/>
    </xf>
    <xf numFmtId="0" fontId="0" fillId="2" borderId="1" xfId="0" applyFont="1" applyFill="1" applyBorder="1" applyAlignment="1" applyProtection="1">
      <alignment horizontal="left" vertical="center" wrapText="1" indent="1"/>
      <protection/>
    </xf>
    <xf numFmtId="0" fontId="4" fillId="0" borderId="0" xfId="0" applyFont="1" applyFill="1" applyBorder="1" applyAlignment="1" applyProtection="1">
      <alignment horizontal="left" vertical="center" wrapText="1" indent="1"/>
      <protection/>
    </xf>
    <xf numFmtId="0" fontId="0" fillId="0" borderId="0" xfId="0" applyBorder="1" applyAlignment="1" applyProtection="1">
      <alignment vertical="center" wrapText="1"/>
      <protection/>
    </xf>
    <xf numFmtId="0" fontId="0" fillId="0" borderId="0" xfId="0" applyBorder="1" applyAlignment="1" applyProtection="1">
      <alignment horizontal="right" vertical="center" wrapText="1"/>
      <protection/>
    </xf>
    <xf numFmtId="165" fontId="0" fillId="2" borderId="1" xfId="0" applyNumberFormat="1" applyFont="1" applyFill="1" applyBorder="1" applyAlignment="1" applyProtection="1">
      <alignment horizontal="center" vertical="center" wrapText="1"/>
      <protection/>
    </xf>
    <xf numFmtId="0" fontId="0" fillId="4" borderId="6" xfId="0" applyFont="1" applyFill="1" applyBorder="1" applyAlignment="1" applyProtection="1">
      <alignment horizontal="left" vertical="center"/>
      <protection/>
    </xf>
    <xf numFmtId="4" fontId="3" fillId="2" borderId="1" xfId="0" applyNumberFormat="1" applyFont="1" applyFill="1" applyBorder="1" applyAlignment="1" applyProtection="1">
      <alignment horizontal="center" vertical="center" wrapText="1"/>
      <protection/>
    </xf>
    <xf numFmtId="0" fontId="4" fillId="0" borderId="32" xfId="0" applyFont="1" applyBorder="1" applyAlignment="1" applyProtection="1">
      <alignment horizontal="center" vertical="center" wrapText="1"/>
      <protection/>
    </xf>
    <xf numFmtId="0" fontId="4" fillId="0" borderId="33" xfId="0" applyFont="1" applyBorder="1" applyAlignment="1" applyProtection="1">
      <alignment horizontal="center" vertical="center" wrapText="1"/>
      <protection/>
    </xf>
    <xf numFmtId="0" fontId="4" fillId="0" borderId="34" xfId="0" applyFont="1" applyBorder="1" applyAlignment="1" applyProtection="1">
      <alignment horizontal="center" vertical="center" wrapText="1"/>
      <protection/>
    </xf>
    <xf numFmtId="0" fontId="0" fillId="0" borderId="5" xfId="0" applyBorder="1" applyAlignment="1" applyProtection="1">
      <alignment horizontal="left" indent="2"/>
      <protection/>
    </xf>
    <xf numFmtId="0" fontId="0" fillId="0" borderId="6" xfId="0" applyBorder="1" applyAlignment="1" applyProtection="1">
      <alignment horizontal="center"/>
      <protection/>
    </xf>
    <xf numFmtId="0" fontId="0" fillId="0" borderId="28" xfId="0" applyBorder="1" applyAlignment="1" applyProtection="1">
      <alignment horizontal="left" indent="1"/>
      <protection/>
    </xf>
    <xf numFmtId="0" fontId="0" fillId="0" borderId="8" xfId="0" applyBorder="1" applyAlignment="1" applyProtection="1">
      <alignment horizontal="left" indent="2"/>
      <protection/>
    </xf>
    <xf numFmtId="0" fontId="0" fillId="0" borderId="18" xfId="0" applyBorder="1" applyAlignment="1" applyProtection="1">
      <alignment horizontal="left" indent="1"/>
      <protection/>
    </xf>
    <xf numFmtId="0" fontId="0" fillId="0" borderId="35" xfId="0" applyBorder="1" applyAlignment="1" applyProtection="1">
      <alignment horizontal="left" indent="2"/>
      <protection/>
    </xf>
    <xf numFmtId="0" fontId="0" fillId="0" borderId="36" xfId="0" applyBorder="1" applyAlignment="1" applyProtection="1">
      <alignment/>
      <protection/>
    </xf>
    <xf numFmtId="0" fontId="0" fillId="0" borderId="37" xfId="0" applyBorder="1" applyAlignment="1" applyProtection="1">
      <alignment horizontal="left" indent="1"/>
      <protection/>
    </xf>
    <xf numFmtId="0" fontId="0" fillId="0" borderId="0" xfId="0" applyBorder="1" applyAlignment="1" applyProtection="1">
      <alignment horizontal="left" vertical="center"/>
      <protection/>
    </xf>
    <xf numFmtId="3" fontId="3" fillId="4" borderId="2" xfId="0" applyNumberFormat="1" applyFont="1" applyFill="1" applyBorder="1" applyAlignment="1" applyProtection="1">
      <alignment horizontal="center" vertical="center" wrapText="1"/>
      <protection locked="0"/>
    </xf>
    <xf numFmtId="0" fontId="0" fillId="6" borderId="8" xfId="0" applyFill="1" applyBorder="1" applyAlignment="1" applyProtection="1">
      <alignment horizontal="left" indent="2"/>
      <protection/>
    </xf>
    <xf numFmtId="0" fontId="0" fillId="6" borderId="1" xfId="0" applyFill="1" applyBorder="1" applyAlignment="1" applyProtection="1">
      <alignment horizontal="center"/>
      <protection/>
    </xf>
    <xf numFmtId="0" fontId="0" fillId="6" borderId="18" xfId="0" applyFill="1" applyBorder="1" applyAlignment="1" applyProtection="1">
      <alignment horizontal="left" indent="1"/>
      <protection/>
    </xf>
    <xf numFmtId="0" fontId="0" fillId="4" borderId="1" xfId="0" applyFill="1" applyBorder="1" applyAlignment="1" applyProtection="1">
      <alignment horizontal="center"/>
      <protection locked="0"/>
    </xf>
    <xf numFmtId="3" fontId="0" fillId="3" borderId="10" xfId="15" applyNumberFormat="1" applyFont="1" applyFill="1" applyBorder="1" applyAlignment="1" applyProtection="1">
      <alignment horizontal="center" vertical="center"/>
      <protection/>
    </xf>
    <xf numFmtId="3" fontId="0" fillId="3" borderId="24" xfId="15" applyNumberFormat="1" applyFont="1" applyFill="1" applyBorder="1" applyAlignment="1" applyProtection="1">
      <alignment horizontal="center" vertical="center"/>
      <protection/>
    </xf>
    <xf numFmtId="4" fontId="0" fillId="3" borderId="24" xfId="0" applyNumberFormat="1" applyFont="1" applyFill="1" applyBorder="1" applyAlignment="1" applyProtection="1">
      <alignment horizontal="center" vertical="center" wrapText="1"/>
      <protection/>
    </xf>
    <xf numFmtId="0" fontId="0" fillId="3" borderId="6" xfId="0" applyFont="1" applyFill="1" applyBorder="1" applyAlignment="1" applyProtection="1">
      <alignment horizontal="center" vertical="center"/>
      <protection/>
    </xf>
    <xf numFmtId="0" fontId="0" fillId="3" borderId="26" xfId="0" applyFont="1" applyFill="1" applyBorder="1" applyAlignment="1" applyProtection="1">
      <alignment horizontal="center" vertical="center"/>
      <protection/>
    </xf>
    <xf numFmtId="3" fontId="0" fillId="4" borderId="1" xfId="0" applyNumberFormat="1" applyFont="1" applyFill="1" applyBorder="1" applyAlignment="1" applyProtection="1">
      <alignment horizontal="center" vertical="center" wrapText="1"/>
      <protection/>
    </xf>
    <xf numFmtId="3" fontId="3" fillId="3" borderId="10" xfId="0" applyNumberFormat="1" applyFont="1" applyFill="1" applyBorder="1" applyAlignment="1" applyProtection="1">
      <alignment horizontal="center" vertical="center" wrapText="1"/>
      <protection/>
    </xf>
    <xf numFmtId="3" fontId="0" fillId="4" borderId="3" xfId="0" applyNumberFormat="1" applyFont="1" applyFill="1" applyBorder="1" applyAlignment="1" applyProtection="1">
      <alignment horizontal="center" vertical="center" wrapText="1"/>
      <protection/>
    </xf>
    <xf numFmtId="3" fontId="3" fillId="3" borderId="6" xfId="0" applyNumberFormat="1" applyFont="1" applyFill="1" applyBorder="1" applyAlignment="1" applyProtection="1">
      <alignment horizontal="center" vertical="center" wrapText="1"/>
      <protection/>
    </xf>
    <xf numFmtId="3" fontId="0" fillId="0" borderId="3" xfId="0" applyNumberFormat="1" applyFont="1" applyFill="1" applyBorder="1" applyAlignment="1" applyProtection="1">
      <alignment horizontal="center" vertical="center" wrapText="1"/>
      <protection/>
    </xf>
    <xf numFmtId="3" fontId="3" fillId="0" borderId="26" xfId="0" applyNumberFormat="1" applyFont="1" applyFill="1" applyBorder="1" applyAlignment="1" applyProtection="1">
      <alignment horizontal="center" vertical="center" wrapText="1"/>
      <protection locked="0"/>
    </xf>
    <xf numFmtId="3" fontId="0" fillId="2" borderId="3" xfId="0" applyNumberFormat="1" applyFont="1" applyFill="1" applyBorder="1" applyAlignment="1" applyProtection="1">
      <alignment horizontal="center" vertical="center" wrapText="1"/>
      <protection/>
    </xf>
    <xf numFmtId="9" fontId="0" fillId="2" borderId="22" xfId="0" applyNumberFormat="1" applyFont="1" applyFill="1" applyBorder="1" applyAlignment="1" applyProtection="1">
      <alignment horizontal="center"/>
      <protection/>
    </xf>
    <xf numFmtId="3" fontId="9" fillId="3" borderId="38" xfId="17" applyNumberFormat="1" applyFont="1" applyFill="1" applyBorder="1" applyAlignment="1" applyProtection="1">
      <alignment horizontal="center" vertical="center"/>
      <protection/>
    </xf>
    <xf numFmtId="3" fontId="9" fillId="3" borderId="39" xfId="0" applyNumberFormat="1" applyFont="1" applyFill="1" applyBorder="1" applyAlignment="1" applyProtection="1">
      <alignment horizontal="center" vertical="center" wrapText="1"/>
      <protection/>
    </xf>
    <xf numFmtId="3" fontId="9" fillId="3" borderId="40" xfId="0" applyNumberFormat="1" applyFont="1" applyFill="1" applyBorder="1" applyAlignment="1" applyProtection="1">
      <alignment horizontal="center" vertical="center" wrapText="1"/>
      <protection/>
    </xf>
    <xf numFmtId="0" fontId="5" fillId="0" borderId="0" xfId="0" applyNumberFormat="1" applyFont="1" applyAlignment="1" applyProtection="1">
      <alignment vertical="top"/>
      <protection/>
    </xf>
    <xf numFmtId="0" fontId="4" fillId="0" borderId="0" xfId="0" applyFont="1" applyAlignment="1" applyProtection="1">
      <alignment horizontal="center" vertical="top" wrapText="1"/>
      <protection/>
    </xf>
    <xf numFmtId="0" fontId="5" fillId="0" borderId="0" xfId="0" applyNumberFormat="1" applyFont="1" applyAlignment="1" applyProtection="1">
      <alignment vertical="top" wrapText="1"/>
      <protection/>
    </xf>
    <xf numFmtId="0" fontId="4" fillId="0" borderId="0" xfId="0" applyFont="1" applyAlignment="1" applyProtection="1">
      <alignment horizontal="center" vertical="top"/>
      <protection/>
    </xf>
    <xf numFmtId="0" fontId="0" fillId="0" borderId="0" xfId="0" applyAlignment="1">
      <alignment vertical="top"/>
    </xf>
    <xf numFmtId="0" fontId="5" fillId="0" borderId="0" xfId="0" applyNumberFormat="1" applyFont="1" applyAlignment="1" applyProtection="1">
      <alignment vertical="top" wrapText="1"/>
      <protection/>
    </xf>
    <xf numFmtId="0" fontId="0" fillId="0" borderId="0" xfId="0" applyAlignment="1">
      <alignment vertical="top" wrapText="1"/>
    </xf>
    <xf numFmtId="0" fontId="0" fillId="0" borderId="4" xfId="0" applyFont="1" applyFill="1" applyBorder="1" applyAlignment="1" applyProtection="1">
      <alignment horizontal="left" vertical="center"/>
      <protection/>
    </xf>
    <xf numFmtId="0" fontId="0" fillId="0" borderId="0" xfId="0" applyFont="1" applyAlignment="1" applyProtection="1">
      <alignment horizontal="left"/>
      <protection/>
    </xf>
    <xf numFmtId="3" fontId="9" fillId="7" borderId="41" xfId="0" applyNumberFormat="1" applyFont="1" applyFill="1" applyBorder="1" applyAlignment="1" applyProtection="1">
      <alignment horizontal="left" vertical="center"/>
      <protection/>
    </xf>
    <xf numFmtId="0" fontId="2" fillId="0" borderId="42" xfId="0" applyFont="1" applyBorder="1" applyAlignment="1" applyProtection="1">
      <alignment horizontal="left"/>
      <protection/>
    </xf>
    <xf numFmtId="0" fontId="2" fillId="0" borderId="43" xfId="0" applyFont="1" applyBorder="1" applyAlignment="1" applyProtection="1">
      <alignment horizontal="left"/>
      <protection/>
    </xf>
    <xf numFmtId="0" fontId="9" fillId="3" borderId="44" xfId="0" applyFont="1" applyFill="1" applyBorder="1" applyAlignment="1" applyProtection="1">
      <alignment horizontal="left" vertical="center" wrapText="1"/>
      <protection/>
    </xf>
    <xf numFmtId="0" fontId="0" fillId="0" borderId="44" xfId="0" applyBorder="1" applyAlignment="1" applyProtection="1">
      <alignment horizontal="left" wrapText="1"/>
      <protection/>
    </xf>
    <xf numFmtId="0" fontId="9" fillId="3" borderId="0" xfId="0" applyFont="1" applyFill="1" applyBorder="1" applyAlignment="1" applyProtection="1">
      <alignment horizontal="left" vertical="center" wrapText="1"/>
      <protection/>
    </xf>
    <xf numFmtId="0" fontId="0" fillId="0" borderId="0" xfId="0" applyBorder="1" applyAlignment="1" applyProtection="1">
      <alignment horizontal="left" wrapText="1"/>
      <protection/>
    </xf>
    <xf numFmtId="3" fontId="9" fillId="7" borderId="45" xfId="0" applyNumberFormat="1" applyFont="1" applyFill="1" applyBorder="1" applyAlignment="1" applyProtection="1">
      <alignment horizontal="left" vertical="center"/>
      <protection/>
    </xf>
    <xf numFmtId="0" fontId="2" fillId="0" borderId="46" xfId="0" applyFont="1" applyBorder="1" applyAlignment="1" applyProtection="1">
      <alignment horizontal="left"/>
      <protection/>
    </xf>
    <xf numFmtId="0" fontId="2" fillId="0" borderId="19" xfId="0" applyFont="1" applyBorder="1" applyAlignment="1" applyProtection="1">
      <alignment horizontal="left"/>
      <protection/>
    </xf>
    <xf numFmtId="0" fontId="16" fillId="0" borderId="0" xfId="0" applyFont="1" applyAlignment="1" applyProtection="1">
      <alignment horizontal="center" vertical="center"/>
      <protection/>
    </xf>
    <xf numFmtId="0" fontId="16" fillId="0" borderId="0" xfId="0" applyFont="1" applyAlignment="1" applyProtection="1">
      <alignment horizontal="center"/>
      <protection/>
    </xf>
    <xf numFmtId="0" fontId="17" fillId="0" borderId="47" xfId="0" applyFont="1" applyBorder="1" applyAlignment="1" applyProtection="1">
      <alignment horizontal="center" vertical="center"/>
      <protection/>
    </xf>
    <xf numFmtId="0" fontId="18" fillId="0" borderId="47" xfId="0" applyFont="1" applyBorder="1" applyAlignment="1" applyProtection="1">
      <alignment horizontal="center"/>
      <protection/>
    </xf>
    <xf numFmtId="0" fontId="13" fillId="0" borderId="31" xfId="0" applyFont="1" applyBorder="1" applyAlignment="1" applyProtection="1">
      <alignment vertical="top" wrapText="1"/>
      <protection/>
    </xf>
    <xf numFmtId="0" fontId="13" fillId="0" borderId="31" xfId="0" applyFont="1" applyBorder="1" applyAlignment="1" applyProtection="1">
      <alignment wrapText="1"/>
      <protection/>
    </xf>
    <xf numFmtId="3" fontId="9" fillId="7" borderId="4" xfId="0" applyNumberFormat="1" applyFont="1" applyFill="1" applyBorder="1" applyAlignment="1" applyProtection="1">
      <alignment horizontal="left" vertical="center"/>
      <protection/>
    </xf>
    <xf numFmtId="0" fontId="2" fillId="0" borderId="0" xfId="0" applyFont="1" applyBorder="1" applyAlignment="1" applyProtection="1">
      <alignment horizontal="left"/>
      <protection/>
    </xf>
    <xf numFmtId="0" fontId="2" fillId="0" borderId="7" xfId="0" applyFont="1" applyBorder="1" applyAlignment="1" applyProtection="1">
      <alignment horizontal="left"/>
      <protection/>
    </xf>
    <xf numFmtId="3" fontId="9" fillId="3" borderId="31" xfId="0" applyNumberFormat="1" applyFont="1" applyFill="1" applyBorder="1" applyAlignment="1" applyProtection="1">
      <alignment horizontal="center" vertical="center" wrapText="1"/>
      <protection/>
    </xf>
    <xf numFmtId="0" fontId="2" fillId="0" borderId="4" xfId="0" applyFont="1" applyBorder="1" applyAlignment="1" applyProtection="1">
      <alignment horizontal="center"/>
      <protection/>
    </xf>
    <xf numFmtId="0" fontId="2" fillId="0" borderId="0" xfId="0" applyFont="1" applyBorder="1" applyAlignment="1" applyProtection="1">
      <alignment horizontal="center"/>
      <protection/>
    </xf>
    <xf numFmtId="0" fontId="0" fillId="0" borderId="0" xfId="0" applyAlignment="1">
      <alignment/>
    </xf>
    <xf numFmtId="0" fontId="0" fillId="0" borderId="42" xfId="0" applyBorder="1" applyAlignment="1" applyProtection="1">
      <alignment/>
      <protection/>
    </xf>
    <xf numFmtId="0" fontId="0" fillId="0" borderId="43" xfId="0" applyBorder="1" applyAlignment="1" applyProtection="1">
      <alignment/>
      <protection/>
    </xf>
    <xf numFmtId="0" fontId="4" fillId="0" borderId="0" xfId="0" applyFont="1" applyAlignment="1" applyProtection="1">
      <alignment horizontal="center" vertical="top" wrapText="1"/>
      <protection/>
    </xf>
    <xf numFmtId="0" fontId="17" fillId="0" borderId="0" xfId="0" applyFont="1" applyBorder="1" applyAlignment="1" applyProtection="1">
      <alignment horizontal="center" vertical="center"/>
      <protection/>
    </xf>
    <xf numFmtId="0" fontId="18" fillId="0" borderId="0" xfId="0" applyFont="1" applyBorder="1" applyAlignment="1" applyProtection="1">
      <alignment horizontal="center"/>
      <protection/>
    </xf>
    <xf numFmtId="0" fontId="28" fillId="0" borderId="47" xfId="0" applyFont="1" applyFill="1" applyBorder="1" applyAlignment="1" applyProtection="1">
      <alignment horizontal="center" vertical="center" wrapText="1"/>
      <protection/>
    </xf>
    <xf numFmtId="0" fontId="18" fillId="0" borderId="47" xfId="0" applyFont="1" applyFill="1" applyBorder="1" applyAlignment="1" applyProtection="1">
      <alignment horizontal="center"/>
      <protection/>
    </xf>
    <xf numFmtId="0" fontId="26" fillId="0" borderId="47" xfId="0" applyFont="1" applyBorder="1" applyAlignment="1" applyProtection="1">
      <alignment horizontal="center" vertical="center" wrapText="1"/>
      <protection/>
    </xf>
    <xf numFmtId="0" fontId="26" fillId="0" borderId="47" xfId="0" applyFont="1" applyBorder="1" applyAlignment="1" applyProtection="1">
      <alignment horizontal="center" wrapText="1"/>
      <protection/>
    </xf>
    <xf numFmtId="0" fontId="13" fillId="0" borderId="0" xfId="0" applyFont="1" applyBorder="1" applyAlignment="1" applyProtection="1">
      <alignment vertical="top" wrapText="1"/>
      <protection/>
    </xf>
    <xf numFmtId="0" fontId="13" fillId="0" borderId="0" xfId="0" applyFont="1" applyBorder="1" applyAlignment="1" applyProtection="1">
      <alignment wrapText="1"/>
      <protection/>
    </xf>
    <xf numFmtId="3" fontId="9" fillId="7" borderId="23" xfId="0" applyNumberFormat="1" applyFont="1" applyFill="1" applyBorder="1" applyAlignment="1" applyProtection="1">
      <alignment horizontal="left" vertical="center"/>
      <protection/>
    </xf>
    <xf numFmtId="0" fontId="2" fillId="0" borderId="21" xfId="0" applyFont="1" applyBorder="1" applyAlignment="1" applyProtection="1">
      <alignment horizontal="left"/>
      <protection/>
    </xf>
    <xf numFmtId="3" fontId="9" fillId="3" borderId="46" xfId="0" applyNumberFormat="1" applyFont="1" applyFill="1" applyBorder="1" applyAlignment="1" applyProtection="1">
      <alignment horizontal="center" vertical="center" wrapText="1"/>
      <protection/>
    </xf>
    <xf numFmtId="3" fontId="9" fillId="3" borderId="22" xfId="0" applyNumberFormat="1" applyFont="1" applyFill="1" applyBorder="1" applyAlignment="1" applyProtection="1">
      <alignment horizontal="center" vertical="center" wrapText="1"/>
      <protection/>
    </xf>
    <xf numFmtId="3" fontId="9" fillId="7" borderId="3" xfId="0" applyNumberFormat="1" applyFont="1" applyFill="1" applyBorder="1" applyAlignment="1" applyProtection="1">
      <alignment horizontal="left" vertical="center"/>
      <protection/>
    </xf>
    <xf numFmtId="0" fontId="2" fillId="0" borderId="48" xfId="0" applyFont="1" applyBorder="1" applyAlignment="1" applyProtection="1">
      <alignment horizontal="left"/>
      <protection/>
    </xf>
    <xf numFmtId="0" fontId="9" fillId="3" borderId="49" xfId="0" applyFont="1" applyFill="1" applyBorder="1" applyAlignment="1" applyProtection="1">
      <alignment horizontal="left" vertical="center" wrapText="1"/>
      <protection/>
    </xf>
    <xf numFmtId="0" fontId="0" fillId="0" borderId="49" xfId="0" applyBorder="1" applyAlignment="1" applyProtection="1">
      <alignment horizontal="left" wrapText="1"/>
      <protection/>
    </xf>
    <xf numFmtId="3" fontId="9" fillId="7" borderId="11" xfId="0" applyNumberFormat="1" applyFont="1" applyFill="1" applyBorder="1" applyAlignment="1" applyProtection="1">
      <alignment horizontal="left" vertical="center"/>
      <protection/>
    </xf>
    <xf numFmtId="0" fontId="2" fillId="0" borderId="22" xfId="0" applyFont="1" applyBorder="1" applyAlignment="1" applyProtection="1">
      <alignment horizontal="left"/>
      <protection/>
    </xf>
    <xf numFmtId="0" fontId="0" fillId="0" borderId="48" xfId="0" applyBorder="1" applyAlignment="1" applyProtection="1">
      <alignment/>
      <protection/>
    </xf>
    <xf numFmtId="0" fontId="0" fillId="0" borderId="0" xfId="0" applyAlignment="1">
      <alignment wrapText="1"/>
    </xf>
    <xf numFmtId="0" fontId="17" fillId="0" borderId="0" xfId="0" applyFont="1" applyBorder="1" applyAlignment="1" applyProtection="1">
      <alignment horizontal="center"/>
      <protection/>
    </xf>
    <xf numFmtId="3" fontId="9" fillId="3" borderId="11" xfId="0" applyNumberFormat="1" applyFont="1" applyFill="1" applyBorder="1" applyAlignment="1" applyProtection="1">
      <alignment horizontal="center" vertical="center" wrapText="1"/>
      <protection/>
    </xf>
    <xf numFmtId="0" fontId="2" fillId="0" borderId="46" xfId="0" applyFont="1" applyBorder="1" applyAlignment="1" applyProtection="1">
      <alignment horizontal="center"/>
      <protection/>
    </xf>
    <xf numFmtId="0" fontId="2" fillId="0" borderId="23" xfId="0" applyFont="1" applyBorder="1" applyAlignment="1" applyProtection="1">
      <alignment horizontal="center"/>
      <protection/>
    </xf>
    <xf numFmtId="0" fontId="0" fillId="0" borderId="46" xfId="0" applyBorder="1" applyAlignment="1" applyProtection="1">
      <alignmen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b/>
        <i val="0"/>
        <color rgb="FFFF0000"/>
      </font>
      <fill>
        <patternFill>
          <bgColor rgb="FFFFFF00"/>
        </patternFill>
      </fill>
      <border/>
    </dxf>
    <dxf>
      <font>
        <b/>
        <i val="0"/>
        <strike/>
        <color rgb="FFFF0000"/>
      </font>
      <fill>
        <patternFill>
          <bgColor rgb="FFFFFF00"/>
        </patternFill>
      </fill>
      <border/>
    </dxf>
    <dxf>
      <font>
        <b/>
        <i val="0"/>
        <color rgb="FFFF0000"/>
      </font>
      <fill>
        <patternFill>
          <bgColor rgb="FFFFFF00"/>
        </patternFill>
      </fill>
      <border>
        <right style="thin">
          <color rgb="FFFF0000"/>
        </right>
        <top style="thin"/>
        <bottom style="thin">
          <color rgb="FFFF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03625"/>
          <c:w val="0.915"/>
          <c:h val="0.91925"/>
        </c:manualLayout>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'Wall Loss Savings'!$H$23:$H$32</c:f>
              <c:numCache>
                <c:ptCount val="10"/>
                <c:pt idx="0">
                  <c:v>0</c:v>
                </c:pt>
                <c:pt idx="1">
                  <c:v>0</c:v>
                </c:pt>
                <c:pt idx="2">
                  <c:v>0</c:v>
                </c:pt>
                <c:pt idx="3">
                  <c:v>0</c:v>
                </c:pt>
                <c:pt idx="4">
                  <c:v>0</c:v>
                </c:pt>
                <c:pt idx="5">
                  <c:v>0</c:v>
                </c:pt>
                <c:pt idx="6">
                  <c:v>0</c:v>
                </c:pt>
                <c:pt idx="7">
                  <c:v>0</c:v>
                </c:pt>
                <c:pt idx="8">
                  <c:v>0</c:v>
                </c:pt>
                <c:pt idx="9">
                  <c:v>0</c:v>
                </c:pt>
              </c:numCache>
            </c:numRef>
          </c:xVal>
          <c:yVal>
            <c:numRef>
              <c:f>'Wall Loss Savings'!$I$23:$I$34</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0"/>
        </c:ser>
        <c:ser>
          <c:idx val="1"/>
          <c:order val="1"/>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'Wall Loss Savings'!$H$23:$H$32</c:f>
              <c:numCache>
                <c:ptCount val="10"/>
                <c:pt idx="0">
                  <c:v>0</c:v>
                </c:pt>
                <c:pt idx="1">
                  <c:v>0</c:v>
                </c:pt>
                <c:pt idx="2">
                  <c:v>0</c:v>
                </c:pt>
                <c:pt idx="3">
                  <c:v>0</c:v>
                </c:pt>
                <c:pt idx="4">
                  <c:v>0</c:v>
                </c:pt>
                <c:pt idx="5">
                  <c:v>0</c:v>
                </c:pt>
                <c:pt idx="6">
                  <c:v>0</c:v>
                </c:pt>
                <c:pt idx="7">
                  <c:v>0</c:v>
                </c:pt>
                <c:pt idx="8">
                  <c:v>0</c:v>
                </c:pt>
                <c:pt idx="9">
                  <c:v>0</c:v>
                </c:pt>
              </c:numCache>
            </c:numRef>
          </c:xVal>
          <c:yVal>
            <c:numRef>
              <c:f>'Wall Loss Savings'!$J$23:$J$32</c:f>
              <c:numCache>
                <c:ptCount val="10"/>
                <c:pt idx="0">
                  <c:v>0</c:v>
                </c:pt>
                <c:pt idx="1">
                  <c:v>0</c:v>
                </c:pt>
                <c:pt idx="2">
                  <c:v>0</c:v>
                </c:pt>
                <c:pt idx="3">
                  <c:v>0</c:v>
                </c:pt>
                <c:pt idx="4">
                  <c:v>0</c:v>
                </c:pt>
                <c:pt idx="5">
                  <c:v>0</c:v>
                </c:pt>
                <c:pt idx="6">
                  <c:v>0</c:v>
                </c:pt>
                <c:pt idx="7">
                  <c:v>0</c:v>
                </c:pt>
                <c:pt idx="8">
                  <c:v>0</c:v>
                </c:pt>
                <c:pt idx="9">
                  <c:v>0</c:v>
                </c:pt>
              </c:numCache>
            </c:numRef>
          </c:yVal>
          <c:smooth val="0"/>
        </c:ser>
        <c:axId val="20112385"/>
        <c:axId val="46793738"/>
      </c:scatterChart>
      <c:valAx>
        <c:axId val="20112385"/>
        <c:scaling>
          <c:orientation val="minMax"/>
          <c:max val="400"/>
          <c:min val="75"/>
        </c:scaling>
        <c:axPos val="b"/>
        <c:delete val="0"/>
        <c:numFmt formatCode="General" sourceLinked="1"/>
        <c:majorTickMark val="out"/>
        <c:minorTickMark val="none"/>
        <c:tickLblPos val="nextTo"/>
        <c:crossAx val="46793738"/>
        <c:crosses val="autoZero"/>
        <c:crossBetween val="midCat"/>
        <c:dispUnits/>
      </c:valAx>
      <c:valAx>
        <c:axId val="46793738"/>
        <c:scaling>
          <c:orientation val="minMax"/>
          <c:max val="1200"/>
        </c:scaling>
        <c:axPos val="l"/>
        <c:majorGridlines/>
        <c:delete val="0"/>
        <c:numFmt formatCode="General" sourceLinked="1"/>
        <c:majorTickMark val="out"/>
        <c:minorTickMark val="none"/>
        <c:tickLblPos val="nextTo"/>
        <c:crossAx val="20112385"/>
        <c:crosses val="autoZero"/>
        <c:crossBetween val="midCat"/>
        <c:dispUnits/>
      </c:valAx>
      <c:spPr>
        <a:solidFill>
          <a:srgbClr val="C0C0C0"/>
        </a:solidFill>
        <a:ln w="12700">
          <a:solidFill>
            <a:srgbClr val="808080"/>
          </a:solidFill>
        </a:ln>
      </c:spPr>
    </c:plotArea>
    <c:legend>
      <c:legendPos val="r"/>
      <c:layout>
        <c:manualLayout>
          <c:xMode val="edge"/>
          <c:yMode val="edge"/>
          <c:x val="0.34025"/>
          <c:y val="0.1305"/>
        </c:manualLayout>
      </c:layout>
      <c:overlay val="0"/>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95250</xdr:rowOff>
    </xdr:from>
    <xdr:to>
      <xdr:col>2</xdr:col>
      <xdr:colOff>1438275</xdr:colOff>
      <xdr:row>3</xdr:row>
      <xdr:rowOff>38100</xdr:rowOff>
    </xdr:to>
    <xdr:pic>
      <xdr:nvPicPr>
        <xdr:cNvPr id="1" name="Picture 9"/>
        <xdr:cNvPicPr preferRelativeResize="1">
          <a:picLocks noChangeAspect="1"/>
        </xdr:cNvPicPr>
      </xdr:nvPicPr>
      <xdr:blipFill>
        <a:blip r:embed="rId1"/>
        <a:stretch>
          <a:fillRect/>
        </a:stretch>
      </xdr:blipFill>
      <xdr:spPr>
        <a:xfrm>
          <a:off x="238125" y="95250"/>
          <a:ext cx="1676400" cy="1085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66675</xdr:rowOff>
    </xdr:from>
    <xdr:to>
      <xdr:col>2</xdr:col>
      <xdr:colOff>1447800</xdr:colOff>
      <xdr:row>3</xdr:row>
      <xdr:rowOff>9525</xdr:rowOff>
    </xdr:to>
    <xdr:pic>
      <xdr:nvPicPr>
        <xdr:cNvPr id="1" name="Picture 7"/>
        <xdr:cNvPicPr preferRelativeResize="1">
          <a:picLocks noChangeAspect="1"/>
        </xdr:cNvPicPr>
      </xdr:nvPicPr>
      <xdr:blipFill>
        <a:blip r:embed="rId1"/>
        <a:stretch>
          <a:fillRect/>
        </a:stretch>
      </xdr:blipFill>
      <xdr:spPr>
        <a:xfrm>
          <a:off x="247650" y="66675"/>
          <a:ext cx="1676400" cy="1085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342900</xdr:colOff>
      <xdr:row>21</xdr:row>
      <xdr:rowOff>123825</xdr:rowOff>
    </xdr:from>
    <xdr:to>
      <xdr:col>16</xdr:col>
      <xdr:colOff>381000</xdr:colOff>
      <xdr:row>34</xdr:row>
      <xdr:rowOff>0</xdr:rowOff>
    </xdr:to>
    <xdr:graphicFrame>
      <xdr:nvGraphicFramePr>
        <xdr:cNvPr id="1" name="Chart 2"/>
        <xdr:cNvGraphicFramePr/>
      </xdr:nvGraphicFramePr>
      <xdr:xfrm>
        <a:off x="10534650" y="5800725"/>
        <a:ext cx="3695700" cy="271462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9525</xdr:colOff>
      <xdr:row>0</xdr:row>
      <xdr:rowOff>38100</xdr:rowOff>
    </xdr:from>
    <xdr:to>
      <xdr:col>2</xdr:col>
      <xdr:colOff>1428750</xdr:colOff>
      <xdr:row>2</xdr:row>
      <xdr:rowOff>361950</xdr:rowOff>
    </xdr:to>
    <xdr:pic>
      <xdr:nvPicPr>
        <xdr:cNvPr id="2" name="Picture 7"/>
        <xdr:cNvPicPr preferRelativeResize="1">
          <a:picLocks noChangeAspect="1"/>
        </xdr:cNvPicPr>
      </xdr:nvPicPr>
      <xdr:blipFill>
        <a:blip r:embed="rId2"/>
        <a:stretch>
          <a:fillRect/>
        </a:stretch>
      </xdr:blipFill>
      <xdr:spPr>
        <a:xfrm>
          <a:off x="228600" y="38100"/>
          <a:ext cx="1676400" cy="1085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38100</xdr:rowOff>
    </xdr:from>
    <xdr:to>
      <xdr:col>2</xdr:col>
      <xdr:colOff>1419225</xdr:colOff>
      <xdr:row>2</xdr:row>
      <xdr:rowOff>361950</xdr:rowOff>
    </xdr:to>
    <xdr:pic>
      <xdr:nvPicPr>
        <xdr:cNvPr id="1" name="Picture 17"/>
        <xdr:cNvPicPr preferRelativeResize="1">
          <a:picLocks noChangeAspect="1"/>
        </xdr:cNvPicPr>
      </xdr:nvPicPr>
      <xdr:blipFill>
        <a:blip r:embed="rId1"/>
        <a:stretch>
          <a:fillRect/>
        </a:stretch>
      </xdr:blipFill>
      <xdr:spPr>
        <a:xfrm>
          <a:off x="219075" y="38100"/>
          <a:ext cx="1676400" cy="1085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38100</xdr:rowOff>
    </xdr:from>
    <xdr:to>
      <xdr:col>2</xdr:col>
      <xdr:colOff>1428750</xdr:colOff>
      <xdr:row>2</xdr:row>
      <xdr:rowOff>361950</xdr:rowOff>
    </xdr:to>
    <xdr:pic>
      <xdr:nvPicPr>
        <xdr:cNvPr id="1" name="Picture 5"/>
        <xdr:cNvPicPr preferRelativeResize="1">
          <a:picLocks noChangeAspect="1"/>
        </xdr:cNvPicPr>
      </xdr:nvPicPr>
      <xdr:blipFill>
        <a:blip r:embed="rId1"/>
        <a:stretch>
          <a:fillRect/>
        </a:stretch>
      </xdr:blipFill>
      <xdr:spPr>
        <a:xfrm>
          <a:off x="228600" y="38100"/>
          <a:ext cx="1676400" cy="1085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38100</xdr:rowOff>
    </xdr:from>
    <xdr:to>
      <xdr:col>2</xdr:col>
      <xdr:colOff>1419225</xdr:colOff>
      <xdr:row>2</xdr:row>
      <xdr:rowOff>361950</xdr:rowOff>
    </xdr:to>
    <xdr:pic>
      <xdr:nvPicPr>
        <xdr:cNvPr id="1" name="Picture 1"/>
        <xdr:cNvPicPr preferRelativeResize="1">
          <a:picLocks noChangeAspect="1"/>
        </xdr:cNvPicPr>
      </xdr:nvPicPr>
      <xdr:blipFill>
        <a:blip r:embed="rId1"/>
        <a:stretch>
          <a:fillRect/>
        </a:stretch>
      </xdr:blipFill>
      <xdr:spPr>
        <a:xfrm>
          <a:off x="219075" y="38100"/>
          <a:ext cx="1676400" cy="1085850"/>
        </a:xfrm>
        <a:prstGeom prst="rect">
          <a:avLst/>
        </a:prstGeom>
        <a:noFill/>
        <a:ln w="9525" cmpd="sng">
          <a:noFill/>
        </a:ln>
      </xdr:spPr>
    </xdr:pic>
    <xdr:clientData/>
  </xdr:twoCellAnchor>
  <xdr:twoCellAnchor>
    <xdr:from>
      <xdr:col>4</xdr:col>
      <xdr:colOff>104775</xdr:colOff>
      <xdr:row>58</xdr:row>
      <xdr:rowOff>19050</xdr:rowOff>
    </xdr:from>
    <xdr:to>
      <xdr:col>4</xdr:col>
      <xdr:colOff>809625</xdr:colOff>
      <xdr:row>58</xdr:row>
      <xdr:rowOff>142875</xdr:rowOff>
    </xdr:to>
    <xdr:sp>
      <xdr:nvSpPr>
        <xdr:cNvPr id="2" name="AutoShape 23"/>
        <xdr:cNvSpPr>
          <a:spLocks/>
        </xdr:cNvSpPr>
      </xdr:nvSpPr>
      <xdr:spPr>
        <a:xfrm>
          <a:off x="3648075" y="12477750"/>
          <a:ext cx="704850" cy="123825"/>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L31"/>
  <sheetViews>
    <sheetView showGridLines="0" workbookViewId="0" topLeftCell="A13">
      <selection activeCell="B5" sqref="B5:E5"/>
    </sheetView>
  </sheetViews>
  <sheetFormatPr defaultColWidth="9.140625" defaultRowHeight="12.75"/>
  <cols>
    <col min="1" max="1" width="3.28125" style="27" customWidth="1"/>
    <col min="2" max="2" width="3.8515625" style="27" customWidth="1"/>
    <col min="3" max="3" width="29.421875" style="107" customWidth="1"/>
    <col min="4" max="4" width="13.140625" style="27" customWidth="1"/>
    <col min="5" max="5" width="13.28125" style="27" customWidth="1"/>
    <col min="6" max="6" width="45.57421875" style="27" customWidth="1"/>
    <col min="7" max="7" width="12.140625" style="27" customWidth="1"/>
    <col min="8" max="8" width="13.8515625" style="27" bestFit="1" customWidth="1"/>
    <col min="9" max="16384" width="9.140625" style="27" customWidth="1"/>
  </cols>
  <sheetData>
    <row r="1" spans="4:8" ht="30">
      <c r="D1" s="108"/>
      <c r="H1" s="12"/>
    </row>
    <row r="2" s="12" customFormat="1" ht="30">
      <c r="D2" s="109"/>
    </row>
    <row r="3" spans="3:7" s="12" customFormat="1" ht="30">
      <c r="C3" s="110"/>
      <c r="G3" s="13"/>
    </row>
    <row r="4" spans="2:7" s="12" customFormat="1" ht="30">
      <c r="B4" s="235" t="s">
        <v>24</v>
      </c>
      <c r="C4" s="236"/>
      <c r="D4" s="236"/>
      <c r="E4" s="236"/>
      <c r="G4" s="13"/>
    </row>
    <row r="5" spans="2:7" s="12" customFormat="1" ht="30.75" thickBot="1">
      <c r="B5" s="237" t="s">
        <v>39</v>
      </c>
      <c r="C5" s="238"/>
      <c r="D5" s="238"/>
      <c r="E5" s="238"/>
      <c r="F5" s="111"/>
      <c r="G5" s="13"/>
    </row>
    <row r="6" spans="2:12" s="14" customFormat="1" ht="19.5" customHeight="1">
      <c r="B6" s="215" t="s">
        <v>0</v>
      </c>
      <c r="C6" s="135"/>
      <c r="D6" s="244" t="s">
        <v>1</v>
      </c>
      <c r="E6" s="214"/>
      <c r="F6" s="15"/>
      <c r="G6" s="16"/>
      <c r="H6" s="16"/>
      <c r="I6" s="16"/>
      <c r="J6" s="16"/>
      <c r="K6" s="16"/>
      <c r="L6" s="16"/>
    </row>
    <row r="7" spans="2:12" s="14" customFormat="1" ht="34.5" customHeight="1">
      <c r="B7" s="245"/>
      <c r="C7" s="246"/>
      <c r="D7" s="51" t="s">
        <v>42</v>
      </c>
      <c r="E7" s="52" t="s">
        <v>43</v>
      </c>
      <c r="F7" s="17" t="s">
        <v>35</v>
      </c>
      <c r="G7" s="16"/>
      <c r="H7" s="16"/>
      <c r="I7" s="16"/>
      <c r="J7" s="16"/>
      <c r="K7" s="16"/>
      <c r="L7" s="16"/>
    </row>
    <row r="8" spans="2:12" s="14" customFormat="1" ht="18" customHeight="1">
      <c r="B8" s="225" t="s">
        <v>4</v>
      </c>
      <c r="C8" s="226"/>
      <c r="D8" s="226"/>
      <c r="E8" s="227"/>
      <c r="F8" s="223" t="s">
        <v>12</v>
      </c>
      <c r="G8" s="224"/>
      <c r="H8" s="224"/>
      <c r="I8" s="224"/>
      <c r="J8" s="224"/>
      <c r="K8" s="16"/>
      <c r="L8" s="16"/>
    </row>
    <row r="9" spans="2:9" s="18" customFormat="1" ht="15.75" customHeight="1">
      <c r="B9" s="19">
        <v>1</v>
      </c>
      <c r="C9" s="20" t="s">
        <v>15</v>
      </c>
      <c r="D9" s="9">
        <v>5000</v>
      </c>
      <c r="E9" s="21"/>
      <c r="F9" s="23" t="s">
        <v>2</v>
      </c>
      <c r="G9" s="23"/>
      <c r="H9" s="23"/>
      <c r="I9" s="23"/>
    </row>
    <row r="10" spans="2:9" s="18" customFormat="1" ht="15.75" customHeight="1">
      <c r="B10" s="24">
        <v>2</v>
      </c>
      <c r="C10" s="25" t="s">
        <v>16</v>
      </c>
      <c r="D10" s="10">
        <f>24*7*46</f>
        <v>7728</v>
      </c>
      <c r="E10" s="21"/>
      <c r="F10" s="23" t="s">
        <v>2</v>
      </c>
      <c r="G10" s="23"/>
      <c r="H10" s="23"/>
      <c r="I10" s="23"/>
    </row>
    <row r="11" spans="2:9" s="18" customFormat="1" ht="15.75" customHeight="1">
      <c r="B11" s="24">
        <v>3</v>
      </c>
      <c r="C11" s="25" t="s">
        <v>17</v>
      </c>
      <c r="D11" s="11">
        <v>0.4</v>
      </c>
      <c r="E11" s="26"/>
      <c r="F11" s="23" t="s">
        <v>2</v>
      </c>
      <c r="G11" s="23"/>
      <c r="H11" s="23"/>
      <c r="I11" s="23"/>
    </row>
    <row r="12" spans="2:9" ht="15.75" customHeight="1">
      <c r="B12" s="28">
        <v>4</v>
      </c>
      <c r="C12" s="29" t="s">
        <v>18</v>
      </c>
      <c r="D12" s="30">
        <f>D10*D11</f>
        <v>3091.2000000000003</v>
      </c>
      <c r="E12" s="31"/>
      <c r="F12" s="32" t="s">
        <v>91</v>
      </c>
      <c r="H12" s="32"/>
      <c r="I12" s="32"/>
    </row>
    <row r="13" spans="2:9" s="18" customFormat="1" ht="15.75" customHeight="1">
      <c r="B13" s="33">
        <v>5</v>
      </c>
      <c r="C13" s="34" t="s">
        <v>19</v>
      </c>
      <c r="D13" s="35">
        <f>D9*D12/100</f>
        <v>154560.00000000003</v>
      </c>
      <c r="E13" s="36"/>
      <c r="F13" s="22" t="s">
        <v>236</v>
      </c>
      <c r="G13" s="23"/>
      <c r="H13" s="23"/>
      <c r="I13" s="23"/>
    </row>
    <row r="14" spans="2:9" ht="18" customHeight="1">
      <c r="B14" s="232" t="s">
        <v>40</v>
      </c>
      <c r="C14" s="233"/>
      <c r="D14" s="233"/>
      <c r="E14" s="234"/>
      <c r="F14" s="32"/>
      <c r="G14" s="32"/>
      <c r="H14" s="32"/>
      <c r="I14" s="32"/>
    </row>
    <row r="15" spans="2:9" ht="15.75" customHeight="1">
      <c r="B15" s="24">
        <v>6</v>
      </c>
      <c r="C15" s="25" t="s">
        <v>45</v>
      </c>
      <c r="D15" s="112">
        <v>0.21</v>
      </c>
      <c r="E15" s="50">
        <v>0.45</v>
      </c>
      <c r="F15" s="72" t="s">
        <v>73</v>
      </c>
      <c r="H15" s="32"/>
      <c r="I15" s="32"/>
    </row>
    <row r="16" spans="2:9" ht="15.75" customHeight="1">
      <c r="B16" s="24">
        <v>7</v>
      </c>
      <c r="C16" s="25" t="s">
        <v>41</v>
      </c>
      <c r="D16" s="10">
        <v>2000</v>
      </c>
      <c r="E16" s="48">
        <f>D16</f>
        <v>2000</v>
      </c>
      <c r="F16" s="72" t="s">
        <v>46</v>
      </c>
      <c r="G16" s="32"/>
      <c r="H16" s="32"/>
      <c r="I16" s="32"/>
    </row>
    <row r="17" spans="2:9" ht="15.75" customHeight="1">
      <c r="B17" s="28">
        <v>8</v>
      </c>
      <c r="C17" s="37" t="s">
        <v>44</v>
      </c>
      <c r="D17" s="113">
        <f>95-0.025*D16</f>
        <v>45</v>
      </c>
      <c r="E17" s="106">
        <f>D17+100*(9.38*((E15-0.21)/E15)*0.021*(E16-60)/1000)</f>
        <v>65.380864</v>
      </c>
      <c r="F17" s="114" t="s">
        <v>111</v>
      </c>
      <c r="G17" s="32"/>
      <c r="H17" s="32"/>
      <c r="I17" s="32"/>
    </row>
    <row r="18" spans="2:5" ht="18" customHeight="1">
      <c r="B18" s="241" t="s">
        <v>5</v>
      </c>
      <c r="C18" s="242"/>
      <c r="D18" s="242"/>
      <c r="E18" s="243"/>
    </row>
    <row r="19" spans="2:6" ht="15.75" customHeight="1">
      <c r="B19" s="28">
        <v>9</v>
      </c>
      <c r="C19" s="37" t="s">
        <v>21</v>
      </c>
      <c r="D19" s="53" t="s">
        <v>3</v>
      </c>
      <c r="E19" s="54">
        <f>(D13-E20)/D13</f>
        <v>0.31172521672396386</v>
      </c>
      <c r="F19" s="27" t="s">
        <v>89</v>
      </c>
    </row>
    <row r="20" spans="2:8" s="14" customFormat="1" ht="15.75" customHeight="1">
      <c r="B20" s="28">
        <v>10</v>
      </c>
      <c r="C20" s="37" t="s">
        <v>22</v>
      </c>
      <c r="D20" s="53" t="s">
        <v>3</v>
      </c>
      <c r="E20" s="48">
        <f>D13*D17/E17</f>
        <v>106379.75050314417</v>
      </c>
      <c r="F20" s="27" t="s">
        <v>157</v>
      </c>
      <c r="G20" s="38"/>
      <c r="H20" s="38"/>
    </row>
    <row r="21" spans="2:7" s="14" customFormat="1" ht="24" customHeight="1">
      <c r="B21" s="55">
        <v>11</v>
      </c>
      <c r="C21" s="230" t="s">
        <v>222</v>
      </c>
      <c r="D21" s="231"/>
      <c r="E21" s="52">
        <f>D13-E20</f>
        <v>48180.24949685586</v>
      </c>
      <c r="F21" s="73" t="s">
        <v>90</v>
      </c>
      <c r="G21" s="40"/>
    </row>
    <row r="22" spans="2:8" ht="18" customHeight="1">
      <c r="B22" s="225" t="s">
        <v>25</v>
      </c>
      <c r="C22" s="226"/>
      <c r="D22" s="226"/>
      <c r="E22" s="227"/>
      <c r="H22" s="38"/>
    </row>
    <row r="23" spans="2:6" ht="15.75" customHeight="1" thickBot="1">
      <c r="B23" s="19">
        <v>12</v>
      </c>
      <c r="C23" s="20" t="s">
        <v>27</v>
      </c>
      <c r="D23" s="49">
        <v>0.95</v>
      </c>
      <c r="E23" s="56"/>
      <c r="F23" s="72" t="s">
        <v>72</v>
      </c>
    </row>
    <row r="24" spans="2:6" ht="24" customHeight="1" thickBot="1">
      <c r="B24" s="39">
        <v>13</v>
      </c>
      <c r="C24" s="228" t="s">
        <v>26</v>
      </c>
      <c r="D24" s="229"/>
      <c r="E24" s="41">
        <f>E21*D23</f>
        <v>45771.23702201307</v>
      </c>
      <c r="F24" s="73" t="s">
        <v>92</v>
      </c>
    </row>
    <row r="25" spans="2:8" ht="12.75" customHeight="1">
      <c r="B25" s="239" t="s">
        <v>23</v>
      </c>
      <c r="C25" s="240"/>
      <c r="D25" s="240"/>
      <c r="E25" s="240"/>
      <c r="G25" s="38"/>
      <c r="H25" s="38"/>
    </row>
    <row r="26" ht="12.75" customHeight="1">
      <c r="C26" s="27"/>
    </row>
    <row r="27" spans="2:5" ht="12.75" customHeight="1">
      <c r="B27" s="219" t="s">
        <v>274</v>
      </c>
      <c r="C27" s="220"/>
      <c r="D27" s="220"/>
      <c r="E27" s="220"/>
    </row>
    <row r="28" spans="2:5" ht="81" customHeight="1">
      <c r="B28" s="221" t="s">
        <v>275</v>
      </c>
      <c r="C28" s="222"/>
      <c r="D28" s="222"/>
      <c r="E28" s="222"/>
    </row>
    <row r="29" ht="12.75">
      <c r="G29" s="38"/>
    </row>
    <row r="30" spans="3:4" ht="12.75">
      <c r="C30" s="115"/>
      <c r="D30" s="116"/>
    </row>
    <row r="31" spans="3:4" ht="12.75">
      <c r="C31" s="115"/>
      <c r="D31" s="116"/>
    </row>
  </sheetData>
  <sheetProtection sheet="1" objects="1" scenarios="1"/>
  <protectedRanges>
    <protectedRange sqref="D23" name="Gas Rate"/>
    <protectedRange sqref="F5 D9:D11" name="Equip Load"/>
  </protectedRanges>
  <mergeCells count="14">
    <mergeCell ref="B4:E4"/>
    <mergeCell ref="B5:E5"/>
    <mergeCell ref="B25:E25"/>
    <mergeCell ref="B18:E18"/>
    <mergeCell ref="D6:E6"/>
    <mergeCell ref="B6:C7"/>
    <mergeCell ref="B27:E27"/>
    <mergeCell ref="B28:E28"/>
    <mergeCell ref="F8:J8"/>
    <mergeCell ref="B22:E22"/>
    <mergeCell ref="C24:D24"/>
    <mergeCell ref="C21:D21"/>
    <mergeCell ref="B8:E8"/>
    <mergeCell ref="B14:E14"/>
  </mergeCells>
  <conditionalFormatting sqref="D15">
    <cfRule type="cellIs" priority="1" dxfId="0" operator="notEqual" stopIfTrue="1">
      <formula>0.21</formula>
    </cfRule>
    <cfRule type="cellIs" priority="2" dxfId="0" operator="notBetween" stopIfTrue="1">
      <formula>0.21</formula>
      <formula>1</formula>
    </cfRule>
  </conditionalFormatting>
  <conditionalFormatting sqref="F5">
    <cfRule type="cellIs" priority="3" dxfId="0" operator="notBetween" stopIfTrue="1">
      <formula>0</formula>
      <formula>1</formula>
    </cfRule>
  </conditionalFormatting>
  <conditionalFormatting sqref="D10">
    <cfRule type="cellIs" priority="4" dxfId="1" operator="notBetween" stopIfTrue="1">
      <formula>0</formula>
      <formula>8760</formula>
    </cfRule>
  </conditionalFormatting>
  <conditionalFormatting sqref="D11">
    <cfRule type="cellIs" priority="5" dxfId="1" operator="notBetween" stopIfTrue="1">
      <formula>0</formula>
      <formula>1</formula>
    </cfRule>
  </conditionalFormatting>
  <conditionalFormatting sqref="E15">
    <cfRule type="cellIs" priority="6" dxfId="1" operator="notBetween" stopIfTrue="1">
      <formula>0.21</formula>
      <formula>1</formula>
    </cfRule>
  </conditionalFormatting>
  <conditionalFormatting sqref="D16">
    <cfRule type="cellIs" priority="7" dxfId="1" operator="notBetween" stopIfTrue="1">
      <formula>200</formula>
      <formula>3000</formula>
    </cfRule>
  </conditionalFormatting>
  <printOptions/>
  <pageMargins left="0.75" right="0.75" top="0.5" bottom="1" header="0.5" footer="0.5"/>
  <pageSetup fitToHeight="1" fitToWidth="1" horizontalDpi="600" verticalDpi="600" orientation="portrait" r:id="rId4"/>
  <headerFooter alignWithMargins="0">
    <oddFooter>&amp;L&amp;F / &amp;A&amp;C&amp;P of &amp;N&amp;R&amp;D</oddFooter>
  </headerFooter>
  <drawing r:id="rId3"/>
  <legacyDrawing r:id="rId2"/>
</worksheet>
</file>

<file path=xl/worksheets/sheet10.xml><?xml version="1.0" encoding="utf-8"?>
<worksheet xmlns="http://schemas.openxmlformats.org/spreadsheetml/2006/main" xmlns:r="http://schemas.openxmlformats.org/officeDocument/2006/relationships">
  <dimension ref="B1:D34"/>
  <sheetViews>
    <sheetView showGridLines="0" workbookViewId="0" topLeftCell="A1">
      <selection activeCell="B2" sqref="B2"/>
    </sheetView>
  </sheetViews>
  <sheetFormatPr defaultColWidth="9.140625" defaultRowHeight="12.75"/>
  <cols>
    <col min="1" max="1" width="1.7109375" style="0" customWidth="1"/>
    <col min="2" max="2" width="100.7109375" style="0" customWidth="1"/>
  </cols>
  <sheetData>
    <row r="1" ht="12" customHeight="1">
      <c r="B1" s="4"/>
    </row>
    <row r="2" spans="2:4" ht="30">
      <c r="B2" s="5" t="s">
        <v>108</v>
      </c>
      <c r="C2" s="1"/>
      <c r="D2" s="1"/>
    </row>
    <row r="3" spans="2:4" ht="45">
      <c r="B3" s="6" t="s">
        <v>167</v>
      </c>
      <c r="C3" s="3"/>
      <c r="D3" s="3"/>
    </row>
    <row r="4" spans="2:4" ht="30">
      <c r="B4" s="7" t="s">
        <v>30</v>
      </c>
      <c r="C4" s="2"/>
      <c r="D4" s="2"/>
    </row>
    <row r="5" spans="2:4" ht="15">
      <c r="B5" s="7" t="s">
        <v>31</v>
      </c>
      <c r="C5" s="2"/>
      <c r="D5" s="2"/>
    </row>
    <row r="6" spans="2:4" ht="15">
      <c r="B6" s="7" t="s">
        <v>32</v>
      </c>
      <c r="C6" s="2"/>
      <c r="D6" s="2"/>
    </row>
    <row r="7" spans="2:4" ht="15">
      <c r="B7" s="7" t="s">
        <v>33</v>
      </c>
      <c r="C7" s="2"/>
      <c r="D7" s="2"/>
    </row>
    <row r="8" ht="15">
      <c r="B8" s="7" t="s">
        <v>34</v>
      </c>
    </row>
    <row r="9" ht="30">
      <c r="B9" s="7" t="s">
        <v>196</v>
      </c>
    </row>
    <row r="10" ht="30">
      <c r="B10" s="7" t="s">
        <v>197</v>
      </c>
    </row>
    <row r="11" ht="15">
      <c r="B11" s="6" t="s">
        <v>168</v>
      </c>
    </row>
    <row r="12" ht="30">
      <c r="B12" s="7" t="s">
        <v>198</v>
      </c>
    </row>
    <row r="13" ht="30">
      <c r="B13" s="7" t="s">
        <v>170</v>
      </c>
    </row>
    <row r="14" ht="15">
      <c r="B14" s="7" t="s">
        <v>199</v>
      </c>
    </row>
    <row r="15" ht="30">
      <c r="B15" s="7" t="s">
        <v>205</v>
      </c>
    </row>
    <row r="16" ht="45">
      <c r="B16" s="7" t="s">
        <v>271</v>
      </c>
    </row>
    <row r="17" ht="36" customHeight="1">
      <c r="B17" s="6" t="s">
        <v>71</v>
      </c>
    </row>
    <row r="18" ht="30">
      <c r="B18" s="7" t="s">
        <v>252</v>
      </c>
    </row>
    <row r="19" ht="30">
      <c r="B19" s="7" t="s">
        <v>253</v>
      </c>
    </row>
    <row r="20" ht="30">
      <c r="B20" s="7" t="s">
        <v>254</v>
      </c>
    </row>
    <row r="21" ht="81">
      <c r="B21" s="7" t="s">
        <v>255</v>
      </c>
    </row>
    <row r="22" ht="75">
      <c r="B22" s="7" t="s">
        <v>256</v>
      </c>
    </row>
    <row r="23" ht="30">
      <c r="B23" s="7" t="s">
        <v>257</v>
      </c>
    </row>
    <row r="24" ht="15">
      <c r="B24" s="7" t="s">
        <v>258</v>
      </c>
    </row>
    <row r="25" ht="15">
      <c r="B25" s="6" t="s">
        <v>5</v>
      </c>
    </row>
    <row r="26" ht="30">
      <c r="B26" s="7" t="s">
        <v>259</v>
      </c>
    </row>
    <row r="27" ht="15">
      <c r="B27" s="7" t="s">
        <v>260</v>
      </c>
    </row>
    <row r="28" ht="15">
      <c r="B28" s="7" t="s">
        <v>261</v>
      </c>
    </row>
    <row r="29" ht="15">
      <c r="B29" s="6" t="s">
        <v>29</v>
      </c>
    </row>
    <row r="30" ht="15">
      <c r="B30" s="7" t="s">
        <v>262</v>
      </c>
    </row>
    <row r="31" ht="15">
      <c r="B31" s="7" t="s">
        <v>263</v>
      </c>
    </row>
    <row r="33" ht="12.75">
      <c r="B33" s="217" t="s">
        <v>274</v>
      </c>
    </row>
    <row r="34" ht="45">
      <c r="B34" s="218" t="s">
        <v>275</v>
      </c>
    </row>
  </sheetData>
  <sheetProtection sheet="1" objects="1" scenarios="1"/>
  <printOptions/>
  <pageMargins left="0.75" right="0.75" top="1" bottom="1" header="0.5" footer="0.5"/>
  <pageSetup horizontalDpi="600" verticalDpi="600" orientation="portrait" r:id="rId1"/>
  <headerFooter alignWithMargins="0">
    <oddFooter>&amp;L&amp;F / &amp;A&amp;C&amp;P of &amp;N&amp;R&amp;D</oddFooter>
  </headerFooter>
</worksheet>
</file>

<file path=xl/worksheets/sheet11.xml><?xml version="1.0" encoding="utf-8"?>
<worksheet xmlns="http://schemas.openxmlformats.org/spreadsheetml/2006/main" xmlns:r="http://schemas.openxmlformats.org/officeDocument/2006/relationships">
  <dimension ref="B1:D34"/>
  <sheetViews>
    <sheetView showGridLines="0" workbookViewId="0" topLeftCell="A1">
      <selection activeCell="B2" sqref="B2"/>
    </sheetView>
  </sheetViews>
  <sheetFormatPr defaultColWidth="9.140625" defaultRowHeight="12.75"/>
  <cols>
    <col min="1" max="1" width="1.7109375" style="0" customWidth="1"/>
    <col min="2" max="2" width="100.7109375" style="0" customWidth="1"/>
  </cols>
  <sheetData>
    <row r="1" ht="12" customHeight="1">
      <c r="B1" s="4"/>
    </row>
    <row r="2" spans="2:4" ht="30">
      <c r="B2" s="5" t="s">
        <v>220</v>
      </c>
      <c r="C2" s="1"/>
      <c r="D2" s="1"/>
    </row>
    <row r="3" spans="2:4" ht="45">
      <c r="B3" s="6" t="s">
        <v>167</v>
      </c>
      <c r="C3" s="3"/>
      <c r="D3" s="3"/>
    </row>
    <row r="4" spans="2:4" ht="30">
      <c r="B4" s="7" t="s">
        <v>30</v>
      </c>
      <c r="C4" s="2"/>
      <c r="D4" s="2"/>
    </row>
    <row r="5" spans="2:4" ht="15">
      <c r="B5" s="7" t="s">
        <v>31</v>
      </c>
      <c r="C5" s="2"/>
      <c r="D5" s="2"/>
    </row>
    <row r="6" spans="2:4" ht="15">
      <c r="B6" s="7" t="s">
        <v>32</v>
      </c>
      <c r="C6" s="2"/>
      <c r="D6" s="2"/>
    </row>
    <row r="7" spans="2:4" ht="15">
      <c r="B7" s="7" t="s">
        <v>33</v>
      </c>
      <c r="C7" s="2"/>
      <c r="D7" s="2"/>
    </row>
    <row r="8" ht="15">
      <c r="B8" s="7" t="s">
        <v>34</v>
      </c>
    </row>
    <row r="9" ht="15">
      <c r="B9" s="7" t="s">
        <v>206</v>
      </c>
    </row>
    <row r="10" ht="30">
      <c r="B10" s="7" t="s">
        <v>207</v>
      </c>
    </row>
    <row r="11" ht="15">
      <c r="B11" s="6" t="s">
        <v>168</v>
      </c>
    </row>
    <row r="12" ht="30">
      <c r="B12" s="7" t="s">
        <v>198</v>
      </c>
    </row>
    <row r="13" ht="15">
      <c r="B13" s="7" t="s">
        <v>208</v>
      </c>
    </row>
    <row r="14" ht="15">
      <c r="B14" s="7" t="s">
        <v>199</v>
      </c>
    </row>
    <row r="15" ht="30">
      <c r="B15" s="7" t="s">
        <v>205</v>
      </c>
    </row>
    <row r="16" ht="45">
      <c r="B16" s="7" t="s">
        <v>271</v>
      </c>
    </row>
    <row r="17" ht="15">
      <c r="B17" s="6" t="s">
        <v>69</v>
      </c>
    </row>
    <row r="18" ht="30">
      <c r="B18" s="7" t="s">
        <v>264</v>
      </c>
    </row>
    <row r="19" ht="33">
      <c r="B19" s="7" t="s">
        <v>265</v>
      </c>
    </row>
    <row r="20" ht="33">
      <c r="B20" s="7" t="s">
        <v>266</v>
      </c>
    </row>
    <row r="21" ht="45">
      <c r="B21" s="7" t="s">
        <v>267</v>
      </c>
    </row>
    <row r="22" ht="75">
      <c r="B22" s="7" t="s">
        <v>268</v>
      </c>
    </row>
    <row r="23" ht="30">
      <c r="B23" s="7" t="s">
        <v>257</v>
      </c>
    </row>
    <row r="24" ht="15">
      <c r="B24" s="7" t="s">
        <v>258</v>
      </c>
    </row>
    <row r="25" ht="15">
      <c r="B25" s="6" t="s">
        <v>5</v>
      </c>
    </row>
    <row r="26" ht="30">
      <c r="B26" s="7" t="s">
        <v>259</v>
      </c>
    </row>
    <row r="27" ht="15">
      <c r="B27" s="7" t="s">
        <v>260</v>
      </c>
    </row>
    <row r="28" ht="15">
      <c r="B28" s="7" t="s">
        <v>261</v>
      </c>
    </row>
    <row r="29" ht="15">
      <c r="B29" s="6" t="s">
        <v>29</v>
      </c>
    </row>
    <row r="30" ht="15">
      <c r="B30" s="7" t="s">
        <v>262</v>
      </c>
    </row>
    <row r="31" ht="15">
      <c r="B31" s="7" t="s">
        <v>263</v>
      </c>
    </row>
    <row r="33" ht="12.75">
      <c r="B33" s="217" t="s">
        <v>274</v>
      </c>
    </row>
    <row r="34" ht="45">
      <c r="B34" s="218" t="s">
        <v>275</v>
      </c>
    </row>
  </sheetData>
  <sheetProtection sheet="1" objects="1" scenarios="1"/>
  <printOptions/>
  <pageMargins left="0.75" right="0.75" top="1" bottom="1" header="0.5" footer="0.5"/>
  <pageSetup horizontalDpi="600" verticalDpi="600" orientation="portrait" r:id="rId1"/>
  <headerFooter alignWithMargins="0">
    <oddFooter>&amp;L&amp;F / &amp;A&amp;C&amp;P of &amp;N&amp;R&amp;D</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D30"/>
  <sheetViews>
    <sheetView showGridLines="0" workbookViewId="0" topLeftCell="A1">
      <selection activeCell="B2" sqref="B2"/>
    </sheetView>
  </sheetViews>
  <sheetFormatPr defaultColWidth="9.140625" defaultRowHeight="12.75"/>
  <cols>
    <col min="1" max="1" width="1.7109375" style="0" customWidth="1"/>
    <col min="2" max="2" width="100.7109375" style="0" customWidth="1"/>
  </cols>
  <sheetData>
    <row r="1" ht="12" customHeight="1">
      <c r="B1" s="4"/>
    </row>
    <row r="2" spans="2:4" ht="30">
      <c r="B2" s="5" t="s">
        <v>145</v>
      </c>
      <c r="C2" s="1"/>
      <c r="D2" s="1"/>
    </row>
    <row r="3" spans="2:4" ht="45">
      <c r="B3" s="6" t="s">
        <v>200</v>
      </c>
      <c r="C3" s="3"/>
      <c r="D3" s="3"/>
    </row>
    <row r="4" spans="2:4" ht="30">
      <c r="B4" s="7" t="s">
        <v>30</v>
      </c>
      <c r="C4" s="2"/>
      <c r="D4" s="2"/>
    </row>
    <row r="5" spans="2:4" ht="15">
      <c r="B5" s="7" t="s">
        <v>31</v>
      </c>
      <c r="C5" s="2"/>
      <c r="D5" s="2"/>
    </row>
    <row r="6" spans="2:4" ht="15">
      <c r="B6" s="7" t="s">
        <v>32</v>
      </c>
      <c r="C6" s="2"/>
      <c r="D6" s="2"/>
    </row>
    <row r="7" spans="2:4" ht="15">
      <c r="B7" s="7" t="s">
        <v>33</v>
      </c>
      <c r="C7" s="2"/>
      <c r="D7" s="2"/>
    </row>
    <row r="8" ht="15">
      <c r="B8" s="7" t="s">
        <v>34</v>
      </c>
    </row>
    <row r="9" ht="15">
      <c r="B9" s="6" t="s">
        <v>168</v>
      </c>
    </row>
    <row r="10" ht="30">
      <c r="B10" s="7" t="s">
        <v>169</v>
      </c>
    </row>
    <row r="11" ht="15">
      <c r="B11" s="7" t="s">
        <v>36</v>
      </c>
    </row>
    <row r="12" ht="30">
      <c r="B12" s="7" t="s">
        <v>38</v>
      </c>
    </row>
    <row r="13" ht="30">
      <c r="B13" s="7" t="s">
        <v>170</v>
      </c>
    </row>
    <row r="14" ht="45">
      <c r="B14" s="7" t="s">
        <v>269</v>
      </c>
    </row>
    <row r="15" ht="15">
      <c r="B15" s="6" t="s">
        <v>231</v>
      </c>
    </row>
    <row r="16" ht="15">
      <c r="B16" s="7" t="s">
        <v>209</v>
      </c>
    </row>
    <row r="17" ht="15">
      <c r="B17" s="7" t="s">
        <v>210</v>
      </c>
    </row>
    <row r="18" ht="30">
      <c r="B18" s="7" t="s">
        <v>232</v>
      </c>
    </row>
    <row r="19" ht="30">
      <c r="B19" s="7" t="s">
        <v>211</v>
      </c>
    </row>
    <row r="20" ht="45">
      <c r="B20" s="7" t="s">
        <v>212</v>
      </c>
    </row>
    <row r="21" ht="15">
      <c r="B21" s="6" t="s">
        <v>5</v>
      </c>
    </row>
    <row r="22" ht="15">
      <c r="B22" s="7" t="s">
        <v>213</v>
      </c>
    </row>
    <row r="23" ht="15">
      <c r="B23" s="7" t="s">
        <v>214</v>
      </c>
    </row>
    <row r="24" ht="33">
      <c r="B24" s="7" t="s">
        <v>215</v>
      </c>
    </row>
    <row r="25" ht="15">
      <c r="B25" s="6" t="s">
        <v>29</v>
      </c>
    </row>
    <row r="26" ht="15">
      <c r="B26" s="7" t="s">
        <v>216</v>
      </c>
    </row>
    <row r="27" ht="15">
      <c r="B27" s="7" t="s">
        <v>217</v>
      </c>
    </row>
    <row r="29" ht="12.75">
      <c r="B29" s="217" t="s">
        <v>274</v>
      </c>
    </row>
    <row r="30" ht="45">
      <c r="B30" s="218" t="s">
        <v>275</v>
      </c>
    </row>
  </sheetData>
  <sheetProtection sheet="1" objects="1" scenarios="1"/>
  <printOptions/>
  <pageMargins left="0.75" right="0.75" top="1" bottom="1" header="0.5" footer="0.5"/>
  <pageSetup fitToHeight="1" fitToWidth="1" horizontalDpi="600" verticalDpi="600" orientation="portrait" scale="97" r:id="rId1"/>
  <headerFooter alignWithMargins="0">
    <oddFooter>&amp;L&amp;F / &amp;A&amp;C&amp;P of &amp;N&amp;R&amp;D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Z57"/>
  <sheetViews>
    <sheetView showGridLines="0" workbookViewId="0" topLeftCell="A22">
      <selection activeCell="B5" sqref="B5:E5"/>
    </sheetView>
  </sheetViews>
  <sheetFormatPr defaultColWidth="9.140625" defaultRowHeight="12.75"/>
  <cols>
    <col min="1" max="1" width="3.28125" style="27" customWidth="1"/>
    <col min="2" max="2" width="3.8515625" style="27" customWidth="1"/>
    <col min="3" max="3" width="32.8515625" style="107" customWidth="1"/>
    <col min="4" max="4" width="13.140625" style="27" customWidth="1"/>
    <col min="5" max="5" width="13.28125" style="27" customWidth="1"/>
    <col min="6" max="6" width="45.57421875" style="27" customWidth="1"/>
    <col min="7" max="7" width="12.140625" style="27" customWidth="1"/>
    <col min="8" max="8" width="13.8515625" style="27" bestFit="1" customWidth="1"/>
    <col min="9" max="16384" width="9.140625" style="27" customWidth="1"/>
  </cols>
  <sheetData>
    <row r="1" spans="4:8" ht="30">
      <c r="D1" s="108"/>
      <c r="H1" s="12"/>
    </row>
    <row r="2" s="12" customFormat="1" ht="30">
      <c r="D2" s="109"/>
    </row>
    <row r="3" spans="3:7" s="12" customFormat="1" ht="30">
      <c r="C3" s="110"/>
      <c r="G3" s="13"/>
    </row>
    <row r="4" spans="2:7" s="12" customFormat="1" ht="30">
      <c r="B4" s="235" t="s">
        <v>24</v>
      </c>
      <c r="C4" s="236"/>
      <c r="D4" s="236"/>
      <c r="E4" s="236"/>
      <c r="G4" s="13"/>
    </row>
    <row r="5" spans="2:7" s="12" customFormat="1" ht="30.75" thickBot="1">
      <c r="B5" s="237" t="s">
        <v>99</v>
      </c>
      <c r="C5" s="238"/>
      <c r="D5" s="238"/>
      <c r="E5" s="238"/>
      <c r="G5" s="13"/>
    </row>
    <row r="6" spans="2:12" s="14" customFormat="1" ht="19.5" customHeight="1">
      <c r="B6" s="215" t="s">
        <v>0</v>
      </c>
      <c r="C6" s="135"/>
      <c r="D6" s="244" t="s">
        <v>1</v>
      </c>
      <c r="E6" s="214"/>
      <c r="F6" s="15"/>
      <c r="G6" s="16"/>
      <c r="H6" s="16"/>
      <c r="I6" s="16"/>
      <c r="J6" s="16"/>
      <c r="K6" s="16"/>
      <c r="L6" s="16"/>
    </row>
    <row r="7" spans="2:12" s="14" customFormat="1" ht="34.5" customHeight="1">
      <c r="B7" s="245"/>
      <c r="C7" s="246"/>
      <c r="D7" s="51" t="s">
        <v>13</v>
      </c>
      <c r="E7" s="52" t="s">
        <v>14</v>
      </c>
      <c r="F7" s="17" t="s">
        <v>35</v>
      </c>
      <c r="G7" s="16"/>
      <c r="H7" s="16"/>
      <c r="I7" s="16"/>
      <c r="J7" s="16"/>
      <c r="K7" s="16"/>
      <c r="L7" s="16"/>
    </row>
    <row r="8" spans="2:12" s="14" customFormat="1" ht="19.5" customHeight="1">
      <c r="B8" s="225" t="s">
        <v>4</v>
      </c>
      <c r="C8" s="226"/>
      <c r="D8" s="226"/>
      <c r="E8" s="227"/>
      <c r="F8" s="74" t="s">
        <v>12</v>
      </c>
      <c r="G8" s="75"/>
      <c r="H8" s="75"/>
      <c r="I8" s="75"/>
      <c r="J8" s="75"/>
      <c r="K8" s="16"/>
      <c r="L8" s="16"/>
    </row>
    <row r="9" spans="2:9" s="18" customFormat="1" ht="15.75" customHeight="1">
      <c r="B9" s="19">
        <v>1</v>
      </c>
      <c r="C9" s="20" t="s">
        <v>15</v>
      </c>
      <c r="D9" s="9">
        <v>2000</v>
      </c>
      <c r="E9" s="21"/>
      <c r="F9" s="23" t="s">
        <v>2</v>
      </c>
      <c r="G9" s="23"/>
      <c r="H9" s="23"/>
      <c r="I9" s="23"/>
    </row>
    <row r="10" spans="2:9" s="18" customFormat="1" ht="15.75" customHeight="1">
      <c r="B10" s="24">
        <v>2</v>
      </c>
      <c r="C10" s="25" t="s">
        <v>16</v>
      </c>
      <c r="D10" s="10">
        <f>24*7*46</f>
        <v>7728</v>
      </c>
      <c r="E10" s="21"/>
      <c r="F10" s="23" t="s">
        <v>2</v>
      </c>
      <c r="G10" s="23"/>
      <c r="H10" s="23"/>
      <c r="I10" s="23"/>
    </row>
    <row r="11" spans="2:9" s="18" customFormat="1" ht="15.75" customHeight="1">
      <c r="B11" s="24">
        <v>3</v>
      </c>
      <c r="C11" s="25" t="s">
        <v>17</v>
      </c>
      <c r="D11" s="11">
        <v>0.3</v>
      </c>
      <c r="E11" s="26"/>
      <c r="F11" s="23" t="s">
        <v>2</v>
      </c>
      <c r="G11" s="23"/>
      <c r="H11" s="23"/>
      <c r="I11" s="23"/>
    </row>
    <row r="12" spans="2:9" ht="15.75" customHeight="1">
      <c r="B12" s="28">
        <v>4</v>
      </c>
      <c r="C12" s="29" t="s">
        <v>18</v>
      </c>
      <c r="D12" s="30">
        <f>D10*D11</f>
        <v>2318.4</v>
      </c>
      <c r="E12" s="31"/>
      <c r="F12" s="32" t="s">
        <v>91</v>
      </c>
      <c r="H12" s="32"/>
      <c r="I12" s="32"/>
    </row>
    <row r="13" spans="2:9" s="18" customFormat="1" ht="15.75" customHeight="1">
      <c r="B13" s="33">
        <v>5</v>
      </c>
      <c r="C13" s="34" t="s">
        <v>19</v>
      </c>
      <c r="D13" s="35">
        <f>D9/100*D10*D11</f>
        <v>46368</v>
      </c>
      <c r="E13" s="36"/>
      <c r="F13" s="22" t="s">
        <v>236</v>
      </c>
      <c r="G13" s="23"/>
      <c r="H13" s="23"/>
      <c r="I13" s="23"/>
    </row>
    <row r="14" spans="2:9" ht="19.5" customHeight="1">
      <c r="B14" s="225" t="s">
        <v>50</v>
      </c>
      <c r="C14" s="248"/>
      <c r="D14" s="248"/>
      <c r="E14" s="249"/>
      <c r="F14" s="32"/>
      <c r="G14" s="32"/>
      <c r="H14" s="32"/>
      <c r="I14" s="32"/>
    </row>
    <row r="15" spans="2:9" ht="15.75" customHeight="1">
      <c r="B15" s="24">
        <v>6</v>
      </c>
      <c r="C15" s="25" t="s">
        <v>41</v>
      </c>
      <c r="D15" s="10">
        <v>600</v>
      </c>
      <c r="E15" s="117"/>
      <c r="F15" s="72" t="s">
        <v>46</v>
      </c>
      <c r="H15" s="32"/>
      <c r="I15" s="32"/>
    </row>
    <row r="16" spans="2:9" ht="15.75" customHeight="1">
      <c r="B16" s="24">
        <v>7</v>
      </c>
      <c r="C16" s="118" t="s">
        <v>93</v>
      </c>
      <c r="D16" s="69">
        <v>3</v>
      </c>
      <c r="E16" s="119"/>
      <c r="F16" s="72" t="s">
        <v>46</v>
      </c>
      <c r="G16" s="32"/>
      <c r="H16" s="32"/>
      <c r="I16" s="32"/>
    </row>
    <row r="17" spans="2:7" ht="15.75" customHeight="1">
      <c r="B17" s="28">
        <v>8</v>
      </c>
      <c r="C17" s="37" t="s">
        <v>20</v>
      </c>
      <c r="D17" s="8">
        <f>0.0258+3.7855*D16+0.60844*D16^2-0.06275*D16^3+0.00493*D16^4</f>
        <v>15.563340000000002</v>
      </c>
      <c r="E17" s="76"/>
      <c r="F17" s="32" t="s">
        <v>234</v>
      </c>
      <c r="G17" s="32"/>
    </row>
    <row r="18" spans="2:9" ht="15.75" customHeight="1">
      <c r="B18" s="24">
        <v>9</v>
      </c>
      <c r="C18" s="118" t="s">
        <v>49</v>
      </c>
      <c r="D18" s="69">
        <v>100</v>
      </c>
      <c r="E18" s="120"/>
      <c r="F18" s="14" t="s">
        <v>46</v>
      </c>
      <c r="G18" s="32"/>
      <c r="H18" s="32"/>
      <c r="I18" s="32"/>
    </row>
    <row r="19" spans="2:9" ht="15.75" customHeight="1">
      <c r="B19" s="28">
        <v>10</v>
      </c>
      <c r="C19" s="29" t="s">
        <v>233</v>
      </c>
      <c r="D19" s="121">
        <f>D44</f>
        <v>78.443666</v>
      </c>
      <c r="E19" s="122"/>
      <c r="F19" s="114" t="s">
        <v>235</v>
      </c>
      <c r="G19" s="32"/>
      <c r="H19" s="32"/>
      <c r="I19" s="32"/>
    </row>
    <row r="20" spans="2:9" ht="15.75" customHeight="1">
      <c r="B20" s="225" t="s">
        <v>75</v>
      </c>
      <c r="C20" s="248"/>
      <c r="D20" s="248"/>
      <c r="E20" s="249"/>
      <c r="G20" s="32"/>
      <c r="H20" s="32"/>
      <c r="I20" s="32"/>
    </row>
    <row r="21" spans="2:9" ht="15.75" customHeight="1">
      <c r="B21" s="24">
        <v>11</v>
      </c>
      <c r="C21" s="118" t="s">
        <v>78</v>
      </c>
      <c r="D21" s="138">
        <v>5000</v>
      </c>
      <c r="E21" s="138">
        <v>5000</v>
      </c>
      <c r="F21" s="72" t="s">
        <v>46</v>
      </c>
      <c r="G21" s="32"/>
      <c r="H21" s="32"/>
      <c r="I21" s="32"/>
    </row>
    <row r="22" spans="2:9" ht="15.75" customHeight="1">
      <c r="B22" s="24">
        <v>12</v>
      </c>
      <c r="C22" s="118" t="s">
        <v>77</v>
      </c>
      <c r="D22" s="138">
        <v>30</v>
      </c>
      <c r="E22" s="138">
        <v>20</v>
      </c>
      <c r="F22" s="72" t="s">
        <v>95</v>
      </c>
      <c r="G22" s="32"/>
      <c r="H22" s="32"/>
      <c r="I22" s="32"/>
    </row>
    <row r="23" spans="2:9" ht="15.75" customHeight="1">
      <c r="B23" s="28">
        <v>13</v>
      </c>
      <c r="C23" s="29" t="s">
        <v>76</v>
      </c>
      <c r="D23" s="48">
        <f>D22*D21/100</f>
        <v>1500</v>
      </c>
      <c r="E23" s="48">
        <f>E22*E21/100</f>
        <v>1000</v>
      </c>
      <c r="F23" s="27" t="s">
        <v>96</v>
      </c>
      <c r="G23" s="32"/>
      <c r="H23" s="32"/>
      <c r="I23" s="32"/>
    </row>
    <row r="24" spans="2:9" ht="15.75" customHeight="1">
      <c r="B24" s="68">
        <v>14</v>
      </c>
      <c r="C24" s="123" t="s">
        <v>79</v>
      </c>
      <c r="D24" s="138">
        <v>100</v>
      </c>
      <c r="E24" s="138">
        <v>150</v>
      </c>
      <c r="F24" s="72" t="s">
        <v>223</v>
      </c>
      <c r="G24" s="32"/>
      <c r="H24" s="32"/>
      <c r="I24" s="32"/>
    </row>
    <row r="25" spans="2:5" ht="19.5" customHeight="1">
      <c r="B25" s="241" t="s">
        <v>5</v>
      </c>
      <c r="C25" s="242"/>
      <c r="D25" s="242"/>
      <c r="E25" s="243"/>
    </row>
    <row r="26" spans="2:6" ht="15.75" customHeight="1">
      <c r="B26" s="28">
        <v>15</v>
      </c>
      <c r="C26" s="37" t="s">
        <v>21</v>
      </c>
      <c r="D26" s="53" t="s">
        <v>3</v>
      </c>
      <c r="E26" s="54">
        <f>(E28)/D13</f>
        <v>0.4358704697486076</v>
      </c>
      <c r="F26" s="27" t="s">
        <v>102</v>
      </c>
    </row>
    <row r="27" spans="2:8" s="14" customFormat="1" ht="15.75" customHeight="1">
      <c r="B27" s="28">
        <v>16</v>
      </c>
      <c r="C27" s="37" t="s">
        <v>22</v>
      </c>
      <c r="D27" s="53" t="s">
        <v>3</v>
      </c>
      <c r="E27" s="48">
        <f>D13-E28</f>
        <v>26157.558058696563</v>
      </c>
      <c r="F27" s="27" t="s">
        <v>101</v>
      </c>
      <c r="G27" s="38"/>
      <c r="H27" s="38"/>
    </row>
    <row r="28" spans="2:7" s="14" customFormat="1" ht="27" customHeight="1" thickBot="1">
      <c r="B28" s="55">
        <v>17</v>
      </c>
      <c r="C28" s="230" t="s">
        <v>222</v>
      </c>
      <c r="D28" s="231"/>
      <c r="E28" s="124">
        <f>D12*(D23*D51-E23*E51)/(D44/100)/100000</f>
        <v>20210.441941303437</v>
      </c>
      <c r="F28" s="32" t="str">
        <f>IF(E28&gt;=D13,"Savings cannot be greater than initial fuel use.","Calc.: See workpaper")</f>
        <v>Calc.: See workpaper</v>
      </c>
      <c r="G28" s="40"/>
    </row>
    <row r="29" spans="2:8" ht="18" customHeight="1">
      <c r="B29" s="225" t="s">
        <v>25</v>
      </c>
      <c r="C29" s="226"/>
      <c r="D29" s="226"/>
      <c r="E29" s="227"/>
      <c r="H29" s="38"/>
    </row>
    <row r="30" spans="2:6" ht="15.75" customHeight="1" thickBot="1">
      <c r="B30" s="19">
        <v>18</v>
      </c>
      <c r="C30" s="20" t="s">
        <v>27</v>
      </c>
      <c r="D30" s="49">
        <v>0.95</v>
      </c>
      <c r="E30" s="56"/>
      <c r="F30" s="32" t="s">
        <v>28</v>
      </c>
    </row>
    <row r="31" spans="2:6" ht="26.25" customHeight="1" thickBot="1">
      <c r="B31" s="39">
        <v>19</v>
      </c>
      <c r="C31" s="228" t="s">
        <v>26</v>
      </c>
      <c r="D31" s="229"/>
      <c r="E31" s="41">
        <f>E28*D30</f>
        <v>19199.919844238266</v>
      </c>
      <c r="F31" s="32" t="s">
        <v>103</v>
      </c>
    </row>
    <row r="32" spans="2:8" ht="12.75" customHeight="1">
      <c r="B32" s="239" t="s">
        <v>23</v>
      </c>
      <c r="C32" s="240"/>
      <c r="D32" s="240"/>
      <c r="E32" s="240"/>
      <c r="G32" s="38"/>
      <c r="H32" s="38"/>
    </row>
    <row r="33" spans="2:8" ht="12.75" customHeight="1">
      <c r="B33" s="63"/>
      <c r="C33" s="64"/>
      <c r="D33" s="64"/>
      <c r="E33" s="64"/>
      <c r="G33" s="38"/>
      <c r="H33" s="38"/>
    </row>
    <row r="34" spans="2:7" ht="12.75" customHeight="1">
      <c r="B34" s="219" t="s">
        <v>274</v>
      </c>
      <c r="C34" s="247"/>
      <c r="D34" s="247"/>
      <c r="E34" s="247"/>
      <c r="G34" s="38"/>
    </row>
    <row r="35" spans="2:5" ht="70.5" customHeight="1">
      <c r="B35" s="221" t="s">
        <v>275</v>
      </c>
      <c r="C35" s="222"/>
      <c r="D35" s="222"/>
      <c r="E35" s="222"/>
    </row>
    <row r="36" spans="2:5" ht="12.75" customHeight="1">
      <c r="B36" s="216"/>
      <c r="C36" s="77"/>
      <c r="D36" s="77"/>
      <c r="E36" s="77"/>
    </row>
    <row r="37" spans="2:5" ht="12.75" customHeight="1">
      <c r="B37" s="216"/>
      <c r="C37" s="77"/>
      <c r="D37" s="77"/>
      <c r="E37" s="77"/>
    </row>
    <row r="38" ht="12.75">
      <c r="C38" s="27" t="s">
        <v>239</v>
      </c>
    </row>
    <row r="39" ht="13.5" hidden="1" thickBot="1">
      <c r="C39" s="42" t="s">
        <v>11</v>
      </c>
    </row>
    <row r="40" spans="3:5" ht="13.5" hidden="1" thickBot="1">
      <c r="C40" s="43" t="s">
        <v>10</v>
      </c>
      <c r="D40" s="57" t="s">
        <v>3</v>
      </c>
      <c r="E40" s="62"/>
    </row>
    <row r="41" spans="3:5" ht="12.75" hidden="1">
      <c r="C41" s="44" t="s">
        <v>6</v>
      </c>
      <c r="D41" s="58">
        <f>95-0.025*D15</f>
        <v>80</v>
      </c>
      <c r="E41" s="62"/>
    </row>
    <row r="42" spans="3:5" ht="12.75" hidden="1">
      <c r="C42" s="45" t="s">
        <v>7</v>
      </c>
      <c r="D42" s="59">
        <f>-(-2+0.02*D15)*(D17/100)</f>
        <v>-1.5563340000000003</v>
      </c>
      <c r="E42" s="46"/>
    </row>
    <row r="43" spans="3:5" ht="12.75" hidden="1">
      <c r="C43" s="45" t="s">
        <v>8</v>
      </c>
      <c r="D43" s="60">
        <f>(-2+0.02*D18)*(1+D17/100)</f>
        <v>0</v>
      </c>
      <c r="E43" s="46"/>
    </row>
    <row r="44" spans="3:5" ht="13.5" hidden="1" thickBot="1">
      <c r="C44" s="47" t="s">
        <v>9</v>
      </c>
      <c r="D44" s="61">
        <f>SUM(D41:D43)</f>
        <v>78.443666</v>
      </c>
      <c r="E44" s="46"/>
    </row>
    <row r="45" ht="12.75" hidden="1"/>
    <row r="46" spans="3:6" ht="12.75" hidden="1">
      <c r="C46" s="125" t="s">
        <v>80</v>
      </c>
      <c r="D46" s="126" t="s">
        <v>74</v>
      </c>
      <c r="E46" s="126" t="s">
        <v>81</v>
      </c>
      <c r="F46" s="127" t="s">
        <v>54</v>
      </c>
    </row>
    <row r="47" spans="3:6" ht="12.75" hidden="1">
      <c r="C47" s="128" t="s">
        <v>82</v>
      </c>
      <c r="D47" s="129">
        <f>(19.86-597/((460+$D$15)^0.5)+7500/(460+$D$15))/18</f>
        <v>0.47770902558998685</v>
      </c>
      <c r="E47" s="129">
        <f>(19.86-597/((460+$D$15)^0.5)+7500/(460+$D$15))/18</f>
        <v>0.47770902558998685</v>
      </c>
      <c r="F47" s="130" t="s">
        <v>83</v>
      </c>
    </row>
    <row r="48" spans="3:26" ht="25.5" hidden="1">
      <c r="C48" s="131" t="s">
        <v>84</v>
      </c>
      <c r="D48" s="132">
        <v>970.3</v>
      </c>
      <c r="E48" s="132">
        <v>970.3</v>
      </c>
      <c r="F48" s="32" t="s">
        <v>85</v>
      </c>
      <c r="G48" s="127"/>
      <c r="H48" s="127"/>
      <c r="I48" s="127"/>
      <c r="J48" s="127"/>
      <c r="K48" s="127"/>
      <c r="L48" s="127"/>
      <c r="M48" s="127"/>
      <c r="N48" s="127"/>
      <c r="O48" s="127"/>
      <c r="P48" s="127"/>
      <c r="Q48" s="127"/>
      <c r="R48" s="127"/>
      <c r="S48" s="127"/>
      <c r="T48" s="127"/>
      <c r="U48" s="127"/>
      <c r="V48" s="127"/>
      <c r="W48" s="127"/>
      <c r="X48" s="127"/>
      <c r="Y48" s="127"/>
      <c r="Z48" s="127"/>
    </row>
    <row r="49" spans="3:26" ht="12.75" hidden="1">
      <c r="C49" s="128" t="s">
        <v>86</v>
      </c>
      <c r="D49" s="133">
        <f>(212-D24)</f>
        <v>112</v>
      </c>
      <c r="E49" s="133">
        <f>(212-E24)</f>
        <v>62</v>
      </c>
      <c r="F49" s="134"/>
      <c r="G49" s="127"/>
      <c r="H49" s="127"/>
      <c r="I49" s="127"/>
      <c r="J49" s="127"/>
      <c r="K49" s="127"/>
      <c r="L49" s="127"/>
      <c r="M49" s="127"/>
      <c r="N49" s="127"/>
      <c r="O49" s="127"/>
      <c r="P49" s="127"/>
      <c r="Q49" s="127"/>
      <c r="R49" s="127"/>
      <c r="S49" s="127"/>
      <c r="T49" s="127"/>
      <c r="U49" s="127"/>
      <c r="V49" s="127"/>
      <c r="W49" s="127"/>
      <c r="X49" s="127"/>
      <c r="Y49" s="127"/>
      <c r="Z49" s="127"/>
    </row>
    <row r="50" spans="3:26" ht="12.75" hidden="1">
      <c r="C50" s="128" t="s">
        <v>87</v>
      </c>
      <c r="D50" s="136">
        <f>D47*($D$15-212)</f>
        <v>185.3511019289149</v>
      </c>
      <c r="E50" s="136">
        <f>E47*($D$15-212)</f>
        <v>185.3511019289149</v>
      </c>
      <c r="F50" s="130"/>
      <c r="G50" s="130"/>
      <c r="H50" s="130"/>
      <c r="I50" s="130"/>
      <c r="J50" s="130"/>
      <c r="K50" s="130"/>
      <c r="L50" s="130"/>
      <c r="M50" s="130"/>
      <c r="N50" s="130"/>
      <c r="O50" s="130"/>
      <c r="P50" s="130"/>
      <c r="Q50" s="130"/>
      <c r="R50" s="130"/>
      <c r="S50" s="130"/>
      <c r="T50" s="130"/>
      <c r="U50" s="130"/>
      <c r="V50" s="130"/>
      <c r="W50" s="130"/>
      <c r="X50" s="130"/>
      <c r="Y50" s="130"/>
      <c r="Z50" s="130"/>
    </row>
    <row r="51" spans="3:26" ht="12.75" hidden="1">
      <c r="C51" s="128" t="s">
        <v>88</v>
      </c>
      <c r="D51" s="129">
        <f>SUM(D48:D50)</f>
        <v>1267.6511019289148</v>
      </c>
      <c r="E51" s="129">
        <f>SUM(E48:E50)</f>
        <v>1217.6511019289148</v>
      </c>
      <c r="F51" s="130"/>
      <c r="G51" s="32"/>
      <c r="H51" s="32"/>
      <c r="I51" s="32"/>
      <c r="J51" s="32"/>
      <c r="K51" s="32"/>
      <c r="L51" s="32"/>
      <c r="M51" s="32"/>
      <c r="N51" s="32"/>
      <c r="O51" s="32"/>
      <c r="P51" s="32"/>
      <c r="Q51" s="32"/>
      <c r="R51" s="32"/>
      <c r="S51" s="32"/>
      <c r="T51" s="32"/>
      <c r="U51" s="32"/>
      <c r="V51" s="32"/>
      <c r="W51" s="32"/>
      <c r="X51" s="32"/>
      <c r="Y51" s="32"/>
      <c r="Z51" s="32"/>
    </row>
    <row r="52" spans="3:26" ht="12.75">
      <c r="C52" s="27"/>
      <c r="G52" s="130"/>
      <c r="H52" s="130"/>
      <c r="I52" s="130"/>
      <c r="J52" s="130"/>
      <c r="K52" s="130"/>
      <c r="L52" s="130"/>
      <c r="M52" s="130"/>
      <c r="N52" s="130"/>
      <c r="O52" s="130"/>
      <c r="P52" s="130"/>
      <c r="Q52" s="130"/>
      <c r="R52" s="130"/>
      <c r="S52" s="130"/>
      <c r="T52" s="130"/>
      <c r="U52" s="130"/>
      <c r="V52" s="130"/>
      <c r="W52" s="130"/>
      <c r="X52" s="130"/>
      <c r="Y52" s="130"/>
      <c r="Z52" s="130"/>
    </row>
    <row r="53" spans="3:26" ht="12.75">
      <c r="C53" s="27"/>
      <c r="G53" s="130"/>
      <c r="H53" s="130"/>
      <c r="I53" s="130"/>
      <c r="J53" s="130"/>
      <c r="K53" s="130"/>
      <c r="L53" s="130"/>
      <c r="M53" s="130"/>
      <c r="N53" s="130"/>
      <c r="O53" s="130"/>
      <c r="P53" s="130"/>
      <c r="Q53" s="130"/>
      <c r="R53" s="130"/>
      <c r="S53" s="130"/>
      <c r="T53" s="130"/>
      <c r="U53" s="130"/>
      <c r="V53" s="130"/>
      <c r="W53" s="130"/>
      <c r="X53" s="130"/>
      <c r="Y53" s="130"/>
      <c r="Z53" s="130"/>
    </row>
    <row r="54" spans="3:26" ht="12.75">
      <c r="C54" s="27"/>
      <c r="G54" s="130"/>
      <c r="H54" s="130"/>
      <c r="I54" s="130"/>
      <c r="J54" s="130"/>
      <c r="K54" s="130"/>
      <c r="L54" s="130"/>
      <c r="M54" s="130"/>
      <c r="N54" s="130"/>
      <c r="O54" s="130"/>
      <c r="P54" s="130"/>
      <c r="Q54" s="130"/>
      <c r="R54" s="130"/>
      <c r="S54" s="130"/>
      <c r="T54" s="130"/>
      <c r="U54" s="130"/>
      <c r="V54" s="130"/>
      <c r="W54" s="130"/>
      <c r="X54" s="130"/>
      <c r="Y54" s="130"/>
      <c r="Z54" s="130"/>
    </row>
    <row r="57" spans="4:5" ht="12.75">
      <c r="D57" s="137"/>
      <c r="E57" s="137"/>
    </row>
  </sheetData>
  <sheetProtection sheet="1" objects="1" scenarios="1"/>
  <protectedRanges>
    <protectedRange sqref="D30" name="Gas Rate"/>
    <protectedRange sqref="D9:D11" name="Equip Load"/>
  </protectedRanges>
  <mergeCells count="14">
    <mergeCell ref="C31:D31"/>
    <mergeCell ref="C28:D28"/>
    <mergeCell ref="B8:E8"/>
    <mergeCell ref="B14:E14"/>
    <mergeCell ref="B4:E4"/>
    <mergeCell ref="B5:E5"/>
    <mergeCell ref="B34:E34"/>
    <mergeCell ref="B35:E35"/>
    <mergeCell ref="B32:E32"/>
    <mergeCell ref="B25:E25"/>
    <mergeCell ref="D6:E6"/>
    <mergeCell ref="B6:C7"/>
    <mergeCell ref="B20:E20"/>
    <mergeCell ref="B29:E29"/>
  </mergeCells>
  <conditionalFormatting sqref="E28">
    <cfRule type="cellIs" priority="1" dxfId="1" operator="greaterThan" stopIfTrue="1">
      <formula>D13</formula>
    </cfRule>
  </conditionalFormatting>
  <conditionalFormatting sqref="D10">
    <cfRule type="cellIs" priority="2" dxfId="1" operator="notBetween" stopIfTrue="1">
      <formula>0</formula>
      <formula>8760</formula>
    </cfRule>
  </conditionalFormatting>
  <conditionalFormatting sqref="D11">
    <cfRule type="cellIs" priority="3" dxfId="1" operator="notBetween" stopIfTrue="1">
      <formula>0</formula>
      <formula>1</formula>
    </cfRule>
  </conditionalFormatting>
  <conditionalFormatting sqref="D15">
    <cfRule type="cellIs" priority="4" dxfId="1" operator="notBetween" stopIfTrue="1">
      <formula>200</formula>
      <formula>3000</formula>
    </cfRule>
  </conditionalFormatting>
  <conditionalFormatting sqref="E31">
    <cfRule type="expression" priority="5" dxfId="1" stopIfTrue="1">
      <formula>$E$28&gt;$D$13</formula>
    </cfRule>
  </conditionalFormatting>
  <conditionalFormatting sqref="F28">
    <cfRule type="expression" priority="6" dxfId="2" stopIfTrue="1">
      <formula>E28&gt;D13</formula>
    </cfRule>
  </conditionalFormatting>
  <printOptions/>
  <pageMargins left="0.75" right="0.75" top="0.5" bottom="1" header="0.5" footer="0.5"/>
  <pageSetup fitToHeight="1" fitToWidth="1" horizontalDpi="600" verticalDpi="600" orientation="portrait" scale="95" r:id="rId4"/>
  <headerFooter alignWithMargins="0">
    <oddFooter>&amp;L&amp;F / &amp;A&amp;C&amp;P of &amp;N&amp;R&amp;D</oddFooter>
  </headerFooter>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1:L44"/>
  <sheetViews>
    <sheetView showGridLines="0" workbookViewId="0" topLeftCell="A1">
      <selection activeCell="B5" sqref="B5:E5"/>
    </sheetView>
  </sheetViews>
  <sheetFormatPr defaultColWidth="9.140625" defaultRowHeight="12.75"/>
  <cols>
    <col min="1" max="1" width="3.28125" style="27" customWidth="1"/>
    <col min="2" max="2" width="3.8515625" style="27" customWidth="1"/>
    <col min="3" max="3" width="29.421875" style="107" customWidth="1"/>
    <col min="4" max="4" width="13.140625" style="27" customWidth="1"/>
    <col min="5" max="5" width="13.28125" style="27" customWidth="1"/>
    <col min="6" max="6" width="45.57421875" style="27" customWidth="1"/>
    <col min="7" max="7" width="12.140625" style="27" customWidth="1"/>
    <col min="8" max="8" width="13.8515625" style="27" bestFit="1" customWidth="1"/>
    <col min="9" max="16384" width="9.140625" style="27" customWidth="1"/>
  </cols>
  <sheetData>
    <row r="1" spans="4:8" ht="30">
      <c r="D1" s="108"/>
      <c r="H1" s="12"/>
    </row>
    <row r="2" s="12" customFormat="1" ht="30">
      <c r="D2" s="109"/>
    </row>
    <row r="3" spans="3:7" s="12" customFormat="1" ht="30">
      <c r="C3" s="110"/>
      <c r="G3" s="13"/>
    </row>
    <row r="4" spans="2:7" s="12" customFormat="1" ht="30">
      <c r="B4" s="235" t="s">
        <v>24</v>
      </c>
      <c r="C4" s="236"/>
      <c r="D4" s="236"/>
      <c r="E4" s="236"/>
      <c r="G4" s="13"/>
    </row>
    <row r="5" spans="2:7" s="12" customFormat="1" ht="30">
      <c r="B5" s="251" t="s">
        <v>51</v>
      </c>
      <c r="C5" s="252"/>
      <c r="D5" s="252"/>
      <c r="E5" s="252"/>
      <c r="G5" s="13"/>
    </row>
    <row r="6" spans="2:7" s="12" customFormat="1" ht="30.75" thickBot="1">
      <c r="B6" s="253" t="s">
        <v>237</v>
      </c>
      <c r="C6" s="254"/>
      <c r="D6" s="254"/>
      <c r="E6" s="254"/>
      <c r="G6" s="13"/>
    </row>
    <row r="7" spans="2:12" s="14" customFormat="1" ht="19.5" customHeight="1">
      <c r="B7" s="215" t="s">
        <v>0</v>
      </c>
      <c r="C7" s="135"/>
      <c r="D7" s="244" t="s">
        <v>1</v>
      </c>
      <c r="E7" s="214"/>
      <c r="F7" s="15"/>
      <c r="G7" s="16"/>
      <c r="H7" s="16"/>
      <c r="I7" s="16"/>
      <c r="J7" s="16"/>
      <c r="K7" s="16"/>
      <c r="L7" s="16"/>
    </row>
    <row r="8" spans="2:12" s="14" customFormat="1" ht="34.5" customHeight="1">
      <c r="B8" s="245"/>
      <c r="C8" s="246"/>
      <c r="D8" s="51" t="s">
        <v>13</v>
      </c>
      <c r="E8" s="52" t="s">
        <v>14</v>
      </c>
      <c r="F8" s="17" t="s">
        <v>35</v>
      </c>
      <c r="G8" s="16"/>
      <c r="H8" s="16"/>
      <c r="I8" s="16"/>
      <c r="J8" s="16"/>
      <c r="K8" s="16"/>
      <c r="L8" s="16"/>
    </row>
    <row r="9" spans="2:12" s="14" customFormat="1" ht="19.5" customHeight="1">
      <c r="B9" s="225" t="s">
        <v>4</v>
      </c>
      <c r="C9" s="226"/>
      <c r="D9" s="226"/>
      <c r="E9" s="227"/>
      <c r="F9" s="74" t="s">
        <v>12</v>
      </c>
      <c r="G9" s="78"/>
      <c r="H9" s="78"/>
      <c r="I9" s="78"/>
      <c r="J9" s="78"/>
      <c r="K9" s="16"/>
      <c r="L9" s="16"/>
    </row>
    <row r="10" spans="2:10" s="18" customFormat="1" ht="15.75" customHeight="1">
      <c r="B10" s="19">
        <v>1</v>
      </c>
      <c r="C10" s="20" t="s">
        <v>15</v>
      </c>
      <c r="D10" s="9">
        <v>8000</v>
      </c>
      <c r="E10" s="21"/>
      <c r="F10" s="23" t="s">
        <v>2</v>
      </c>
      <c r="G10" s="23"/>
      <c r="H10" s="23"/>
      <c r="I10" s="23"/>
      <c r="J10" s="23"/>
    </row>
    <row r="11" spans="2:10" s="18" customFormat="1" ht="15.75" customHeight="1">
      <c r="B11" s="24">
        <v>2</v>
      </c>
      <c r="C11" s="25" t="s">
        <v>16</v>
      </c>
      <c r="D11" s="10">
        <f>24*7*46</f>
        <v>7728</v>
      </c>
      <c r="E11" s="21"/>
      <c r="F11" s="23" t="s">
        <v>2</v>
      </c>
      <c r="G11" s="23"/>
      <c r="H11" s="23"/>
      <c r="I11" s="23"/>
      <c r="J11" s="23"/>
    </row>
    <row r="12" spans="2:10" s="18" customFormat="1" ht="15.75" customHeight="1">
      <c r="B12" s="24">
        <v>3</v>
      </c>
      <c r="C12" s="25" t="s">
        <v>17</v>
      </c>
      <c r="D12" s="11">
        <v>0.4</v>
      </c>
      <c r="E12" s="26"/>
      <c r="F12" s="23" t="s">
        <v>2</v>
      </c>
      <c r="G12" s="23"/>
      <c r="H12" s="23"/>
      <c r="I12" s="23"/>
      <c r="J12" s="23"/>
    </row>
    <row r="13" spans="2:10" ht="15.75" customHeight="1">
      <c r="B13" s="28">
        <v>4</v>
      </c>
      <c r="C13" s="29" t="s">
        <v>18</v>
      </c>
      <c r="D13" s="30">
        <f>D11*D12</f>
        <v>3091.2000000000003</v>
      </c>
      <c r="E13" s="31"/>
      <c r="F13" s="32" t="s">
        <v>91</v>
      </c>
      <c r="G13" s="32"/>
      <c r="H13" s="32"/>
      <c r="I13" s="32"/>
      <c r="J13" s="32"/>
    </row>
    <row r="14" spans="2:10" s="18" customFormat="1" ht="15.75" customHeight="1">
      <c r="B14" s="33">
        <v>5</v>
      </c>
      <c r="C14" s="34" t="s">
        <v>19</v>
      </c>
      <c r="D14" s="35">
        <f>D10/100*D11*D12</f>
        <v>247296</v>
      </c>
      <c r="E14" s="36"/>
      <c r="F14" s="22" t="s">
        <v>236</v>
      </c>
      <c r="G14" s="22"/>
      <c r="H14" s="22"/>
      <c r="I14" s="22"/>
      <c r="J14" s="22"/>
    </row>
    <row r="15" spans="2:9" ht="19.5" customHeight="1">
      <c r="B15" s="225" t="s">
        <v>50</v>
      </c>
      <c r="C15" s="248"/>
      <c r="D15" s="248"/>
      <c r="E15" s="249"/>
      <c r="F15" s="32"/>
      <c r="G15" s="32"/>
      <c r="H15" s="32"/>
      <c r="I15" s="32"/>
    </row>
    <row r="16" spans="2:9" ht="15.75" customHeight="1">
      <c r="B16" s="24">
        <v>6</v>
      </c>
      <c r="C16" s="25" t="s">
        <v>41</v>
      </c>
      <c r="D16" s="69">
        <v>1600</v>
      </c>
      <c r="E16" s="117"/>
      <c r="F16" s="72" t="s">
        <v>46</v>
      </c>
      <c r="H16" s="32"/>
      <c r="I16" s="32"/>
    </row>
    <row r="17" spans="2:9" ht="15.75" customHeight="1">
      <c r="B17" s="24">
        <v>7</v>
      </c>
      <c r="C17" s="118" t="s">
        <v>48</v>
      </c>
      <c r="D17" s="69">
        <v>5</v>
      </c>
      <c r="E17" s="119"/>
      <c r="F17" s="72" t="s">
        <v>46</v>
      </c>
      <c r="G17" s="32"/>
      <c r="H17" s="32"/>
      <c r="I17" s="32"/>
    </row>
    <row r="18" spans="2:7" ht="15.75" customHeight="1">
      <c r="B18" s="28">
        <v>8</v>
      </c>
      <c r="C18" s="37" t="s">
        <v>20</v>
      </c>
      <c r="D18" s="8">
        <f>0.0258+3.7855*D17+0.60844*D17^2-0.06275*D17^3+0.00493*D17^4</f>
        <v>29.401799999999998</v>
      </c>
      <c r="E18" s="76"/>
      <c r="F18" s="32" t="s">
        <v>94</v>
      </c>
      <c r="G18" s="32"/>
    </row>
    <row r="19" spans="2:9" ht="15.75" customHeight="1">
      <c r="B19" s="24">
        <v>9</v>
      </c>
      <c r="C19" s="118" t="s">
        <v>53</v>
      </c>
      <c r="D19" s="69">
        <v>75</v>
      </c>
      <c r="E19" s="119"/>
      <c r="F19" s="72" t="s">
        <v>46</v>
      </c>
      <c r="G19" s="32"/>
      <c r="H19" s="32"/>
      <c r="I19" s="32"/>
    </row>
    <row r="20" spans="2:9" ht="15.75" customHeight="1">
      <c r="B20" s="24">
        <v>10</v>
      </c>
      <c r="C20" s="118" t="s">
        <v>49</v>
      </c>
      <c r="D20" s="69">
        <v>100</v>
      </c>
      <c r="E20" s="120"/>
      <c r="F20" s="14" t="s">
        <v>46</v>
      </c>
      <c r="G20" s="32"/>
      <c r="H20" s="32"/>
      <c r="I20" s="32"/>
    </row>
    <row r="21" spans="2:9" ht="15.75" customHeight="1">
      <c r="B21" s="225" t="s">
        <v>52</v>
      </c>
      <c r="C21" s="248"/>
      <c r="D21" s="248"/>
      <c r="E21" s="249"/>
      <c r="G21" s="32"/>
      <c r="H21" s="32"/>
      <c r="I21" s="32"/>
    </row>
    <row r="22" spans="2:9" ht="15.75" customHeight="1">
      <c r="B22" s="24">
        <v>11</v>
      </c>
      <c r="C22" s="118" t="s">
        <v>218</v>
      </c>
      <c r="D22" s="84">
        <v>1750</v>
      </c>
      <c r="E22" s="139"/>
      <c r="F22" s="72" t="s">
        <v>46</v>
      </c>
      <c r="G22" s="32"/>
      <c r="H22" s="32"/>
      <c r="I22" s="32"/>
    </row>
    <row r="23" spans="2:10" ht="15.75" customHeight="1">
      <c r="B23" s="24">
        <v>12</v>
      </c>
      <c r="C23" s="118" t="s">
        <v>47</v>
      </c>
      <c r="D23" s="84">
        <v>250</v>
      </c>
      <c r="E23" s="85">
        <v>145</v>
      </c>
      <c r="F23" s="72" t="str">
        <f>IF(D23&gt;E23,"Customer Input: key input to the savings","No Savings: check input")</f>
        <v>Customer Input: key input to the savings</v>
      </c>
      <c r="G23" s="32"/>
      <c r="H23" s="32">
        <v>75</v>
      </c>
      <c r="I23" s="32"/>
      <c r="J23" s="27">
        <v>0</v>
      </c>
    </row>
    <row r="24" spans="2:10" ht="15.75" customHeight="1">
      <c r="B24" s="28">
        <v>13</v>
      </c>
      <c r="C24" s="29" t="s">
        <v>219</v>
      </c>
      <c r="D24" s="140">
        <f>IF(D23&gt;=140,((164.57-1.417144*D23+9.71428*D23^2*10^(-3))-(90+0.085*(D23-100))*(D19-75)/50),(1.6+0.006*D23)*(D23-D19))</f>
        <v>417.42650000000003</v>
      </c>
      <c r="E24" s="141">
        <f>IF(E23&gt;=140,((164.57-1.417144*E23+9.71428*E23^2*10^(-3))-(90+0.085*(E23-100))*(D19-75)/50),(1.6+0.006*E23)*(E23-D19))</f>
        <v>163.32685700000005</v>
      </c>
      <c r="F24" s="27" t="s">
        <v>97</v>
      </c>
      <c r="G24" s="32"/>
      <c r="H24" s="32">
        <v>100</v>
      </c>
      <c r="I24" s="32"/>
      <c r="J24" s="27">
        <v>55</v>
      </c>
    </row>
    <row r="25" spans="2:10" ht="19.5" customHeight="1">
      <c r="B25" s="241" t="s">
        <v>5</v>
      </c>
      <c r="C25" s="242"/>
      <c r="D25" s="242"/>
      <c r="E25" s="243"/>
      <c r="H25" s="27">
        <v>125</v>
      </c>
      <c r="J25" s="27">
        <v>118</v>
      </c>
    </row>
    <row r="26" spans="2:10" ht="15.75" customHeight="1">
      <c r="B26" s="28">
        <v>14</v>
      </c>
      <c r="C26" s="37" t="s">
        <v>21</v>
      </c>
      <c r="D26" s="53" t="s">
        <v>3</v>
      </c>
      <c r="E26" s="54">
        <f>(E28)/D14</f>
        <v>0.12036584426550247</v>
      </c>
      <c r="F26" s="27" t="s">
        <v>104</v>
      </c>
      <c r="H26" s="27">
        <v>139</v>
      </c>
      <c r="J26" s="27">
        <v>156</v>
      </c>
    </row>
    <row r="27" spans="2:10" s="14" customFormat="1" ht="15.75" customHeight="1">
      <c r="B27" s="28">
        <v>15</v>
      </c>
      <c r="C27" s="37" t="s">
        <v>22</v>
      </c>
      <c r="D27" s="53" t="s">
        <v>3</v>
      </c>
      <c r="E27" s="48">
        <f>D14-E28</f>
        <v>217530.0081765183</v>
      </c>
      <c r="F27" s="27" t="s">
        <v>180</v>
      </c>
      <c r="G27" s="38"/>
      <c r="H27" s="38">
        <v>140</v>
      </c>
      <c r="J27" s="14">
        <v>157</v>
      </c>
    </row>
    <row r="28" spans="2:10" s="14" customFormat="1" ht="27" customHeight="1" thickBot="1">
      <c r="B28" s="55">
        <v>16</v>
      </c>
      <c r="C28" s="230" t="s">
        <v>222</v>
      </c>
      <c r="D28" s="231"/>
      <c r="E28" s="124">
        <f>(D13*D22*(D24-E24)/10^5)/(D44/100)</f>
        <v>29765.991823481698</v>
      </c>
      <c r="F28" s="79" t="s">
        <v>100</v>
      </c>
      <c r="G28" s="40"/>
      <c r="H28" s="14">
        <v>145</v>
      </c>
      <c r="J28" s="14">
        <v>163</v>
      </c>
    </row>
    <row r="29" spans="2:10" ht="18" customHeight="1">
      <c r="B29" s="225" t="s">
        <v>25</v>
      </c>
      <c r="C29" s="226"/>
      <c r="D29" s="226"/>
      <c r="E29" s="227"/>
      <c r="H29" s="38">
        <v>175</v>
      </c>
      <c r="J29" s="27">
        <v>214</v>
      </c>
    </row>
    <row r="30" spans="2:10" ht="15.75" customHeight="1" thickBot="1">
      <c r="B30" s="19">
        <v>17</v>
      </c>
      <c r="C30" s="20" t="s">
        <v>27</v>
      </c>
      <c r="D30" s="49">
        <v>0.95</v>
      </c>
      <c r="E30" s="56"/>
      <c r="F30" s="72" t="s">
        <v>28</v>
      </c>
      <c r="H30" s="27">
        <v>200</v>
      </c>
      <c r="J30" s="27">
        <v>270</v>
      </c>
    </row>
    <row r="31" spans="2:10" ht="26.25" customHeight="1" thickBot="1">
      <c r="B31" s="39">
        <v>18</v>
      </c>
      <c r="C31" s="228" t="s">
        <v>26</v>
      </c>
      <c r="D31" s="229"/>
      <c r="E31" s="41">
        <f>E28*D30</f>
        <v>28277.69223230761</v>
      </c>
      <c r="F31" s="32" t="s">
        <v>105</v>
      </c>
      <c r="H31" s="27">
        <v>250</v>
      </c>
      <c r="J31" s="27">
        <v>417</v>
      </c>
    </row>
    <row r="32" spans="2:10" ht="12.75" customHeight="1">
      <c r="B32" s="239" t="s">
        <v>23</v>
      </c>
      <c r="C32" s="240"/>
      <c r="D32" s="240"/>
      <c r="E32" s="240"/>
      <c r="G32" s="38"/>
      <c r="H32" s="38">
        <v>300</v>
      </c>
      <c r="J32" s="27">
        <v>614</v>
      </c>
    </row>
    <row r="33" spans="2:8" ht="12.75" customHeight="1">
      <c r="B33" s="63"/>
      <c r="C33" s="64"/>
      <c r="D33" s="64"/>
      <c r="E33" s="64"/>
      <c r="G33" s="38"/>
      <c r="H33" s="38"/>
    </row>
    <row r="34" spans="2:7" ht="12.75">
      <c r="B34" s="250" t="s">
        <v>274</v>
      </c>
      <c r="C34" s="222"/>
      <c r="D34" s="222"/>
      <c r="E34" s="222"/>
      <c r="G34" s="38"/>
    </row>
    <row r="35" spans="2:5" ht="80.25" customHeight="1">
      <c r="B35" s="221" t="s">
        <v>275</v>
      </c>
      <c r="C35" s="222"/>
      <c r="D35" s="222"/>
      <c r="E35" s="222"/>
    </row>
    <row r="36" spans="2:3" ht="12.75" customHeight="1">
      <c r="B36" s="216"/>
      <c r="C36" s="27"/>
    </row>
    <row r="37" spans="2:3" ht="12.75" customHeight="1">
      <c r="B37" s="216"/>
      <c r="C37" s="27"/>
    </row>
    <row r="38" ht="12.75">
      <c r="C38" s="27" t="s">
        <v>238</v>
      </c>
    </row>
    <row r="39" ht="13.5" hidden="1" thickBot="1">
      <c r="C39" s="42" t="s">
        <v>11</v>
      </c>
    </row>
    <row r="40" spans="3:5" ht="13.5" hidden="1" thickBot="1">
      <c r="C40" s="43" t="s">
        <v>10</v>
      </c>
      <c r="D40" s="57" t="s">
        <v>3</v>
      </c>
      <c r="E40" s="62"/>
    </row>
    <row r="41" spans="3:5" ht="12.75" hidden="1">
      <c r="C41" s="44" t="s">
        <v>6</v>
      </c>
      <c r="D41" s="58">
        <f>95-0.025*D16</f>
        <v>55</v>
      </c>
      <c r="E41" s="62"/>
    </row>
    <row r="42" spans="3:5" ht="12.75" hidden="1">
      <c r="C42" s="45" t="s">
        <v>7</v>
      </c>
      <c r="D42" s="59">
        <f>-(-2+0.02*D16)*(D18/100)</f>
        <v>-8.82054</v>
      </c>
      <c r="E42" s="46"/>
    </row>
    <row r="43" spans="3:5" ht="12.75" hidden="1">
      <c r="C43" s="45" t="s">
        <v>8</v>
      </c>
      <c r="D43" s="60">
        <f>(-2+0.02*D20)*(1+D18/100)</f>
        <v>0</v>
      </c>
      <c r="E43" s="46"/>
    </row>
    <row r="44" spans="3:5" ht="13.5" hidden="1" thickBot="1">
      <c r="C44" s="47" t="s">
        <v>9</v>
      </c>
      <c r="D44" s="61">
        <f>SUM(D41:D43)</f>
        <v>46.17946</v>
      </c>
      <c r="E44" s="46"/>
    </row>
  </sheetData>
  <sheetProtection sheet="1" objects="1" scenarios="1"/>
  <protectedRanges>
    <protectedRange sqref="D30" name="Gas Rate"/>
    <protectedRange sqref="D10:D12" name="Equip Load"/>
  </protectedRanges>
  <mergeCells count="15">
    <mergeCell ref="B15:E15"/>
    <mergeCell ref="B21:E21"/>
    <mergeCell ref="B29:E29"/>
    <mergeCell ref="C31:D31"/>
    <mergeCell ref="C28:D28"/>
    <mergeCell ref="B34:E34"/>
    <mergeCell ref="B35:E35"/>
    <mergeCell ref="B4:E4"/>
    <mergeCell ref="B5:E5"/>
    <mergeCell ref="D7:E7"/>
    <mergeCell ref="B7:C8"/>
    <mergeCell ref="B32:E32"/>
    <mergeCell ref="B25:E25"/>
    <mergeCell ref="B6:E6"/>
    <mergeCell ref="B9:E9"/>
  </mergeCells>
  <conditionalFormatting sqref="F23">
    <cfRule type="expression" priority="1" dxfId="2" stopIfTrue="1">
      <formula>E23&gt;=D23</formula>
    </cfRule>
  </conditionalFormatting>
  <conditionalFormatting sqref="E23">
    <cfRule type="cellIs" priority="2" dxfId="1" operator="greaterThanOrEqual" stopIfTrue="1">
      <formula>$D$23</formula>
    </cfRule>
  </conditionalFormatting>
  <conditionalFormatting sqref="D11">
    <cfRule type="cellIs" priority="3" dxfId="1" operator="notBetween" stopIfTrue="1">
      <formula>0</formula>
      <formula>8760</formula>
    </cfRule>
  </conditionalFormatting>
  <conditionalFormatting sqref="D12">
    <cfRule type="cellIs" priority="4" dxfId="1" operator="notBetween" stopIfTrue="1">
      <formula>0</formula>
      <formula>1</formula>
    </cfRule>
  </conditionalFormatting>
  <printOptions/>
  <pageMargins left="0.75" right="0.75" top="0.5" bottom="1" header="0.5" footer="0.5"/>
  <pageSetup fitToHeight="1" fitToWidth="1" horizontalDpi="600" verticalDpi="600" orientation="portrait" scale="91" r:id="rId4"/>
  <headerFooter alignWithMargins="0">
    <oddFooter>&amp;L&amp;F / &amp;A&amp;C&amp;P of &amp;N&amp;R&amp;D</oddFooter>
  </headerFooter>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75"/>
  <sheetViews>
    <sheetView showGridLines="0" workbookViewId="0" topLeftCell="A13">
      <selection activeCell="B5" sqref="B5:E5"/>
    </sheetView>
  </sheetViews>
  <sheetFormatPr defaultColWidth="9.140625" defaultRowHeight="12.75"/>
  <cols>
    <col min="1" max="1" width="3.28125" style="27" customWidth="1"/>
    <col min="2" max="2" width="3.8515625" style="27" customWidth="1"/>
    <col min="3" max="3" width="29.421875" style="107" customWidth="1"/>
    <col min="4" max="4" width="13.140625" style="27" customWidth="1"/>
    <col min="5" max="5" width="13.28125" style="27" customWidth="1"/>
    <col min="6" max="6" width="45.57421875" style="27" customWidth="1"/>
    <col min="7" max="7" width="12.140625" style="27" customWidth="1"/>
    <col min="8" max="8" width="13.8515625" style="27" bestFit="1" customWidth="1"/>
    <col min="9" max="16384" width="9.140625" style="27" customWidth="1"/>
  </cols>
  <sheetData>
    <row r="1" spans="4:8" ht="30">
      <c r="D1" s="108"/>
      <c r="H1" s="12"/>
    </row>
    <row r="2" s="12" customFormat="1" ht="30">
      <c r="D2" s="109"/>
    </row>
    <row r="3" spans="3:7" s="12" customFormat="1" ht="30">
      <c r="C3" s="110"/>
      <c r="G3" s="13"/>
    </row>
    <row r="4" spans="2:7" s="12" customFormat="1" ht="30">
      <c r="B4" s="235" t="s">
        <v>24</v>
      </c>
      <c r="C4" s="236"/>
      <c r="D4" s="236"/>
      <c r="E4" s="236"/>
      <c r="G4" s="13"/>
    </row>
    <row r="5" spans="2:7" s="12" customFormat="1" ht="30.75" thickBot="1">
      <c r="B5" s="255" t="s">
        <v>108</v>
      </c>
      <c r="C5" s="256"/>
      <c r="D5" s="256"/>
      <c r="E5" s="256"/>
      <c r="G5" s="13"/>
    </row>
    <row r="6" spans="2:12" s="14" customFormat="1" ht="19.5" customHeight="1">
      <c r="B6" s="215" t="s">
        <v>0</v>
      </c>
      <c r="C6" s="135"/>
      <c r="D6" s="244" t="s">
        <v>1</v>
      </c>
      <c r="E6" s="214"/>
      <c r="F6" s="88"/>
      <c r="G6" s="16"/>
      <c r="H6" s="16"/>
      <c r="I6" s="16"/>
      <c r="J6" s="16"/>
      <c r="K6" s="16"/>
      <c r="L6" s="16"/>
    </row>
    <row r="7" spans="2:12" s="14" customFormat="1" ht="34.5" customHeight="1">
      <c r="B7" s="245"/>
      <c r="C7" s="246"/>
      <c r="D7" s="51" t="s">
        <v>13</v>
      </c>
      <c r="E7" s="52" t="s">
        <v>14</v>
      </c>
      <c r="F7" s="89" t="s">
        <v>35</v>
      </c>
      <c r="G7" s="16"/>
      <c r="H7" s="16"/>
      <c r="I7" s="16"/>
      <c r="J7" s="16"/>
      <c r="K7" s="16"/>
      <c r="L7" s="16"/>
    </row>
    <row r="8" spans="2:14" s="14" customFormat="1" ht="19.5" customHeight="1">
      <c r="B8" s="225" t="s">
        <v>4</v>
      </c>
      <c r="C8" s="226"/>
      <c r="D8" s="226"/>
      <c r="E8" s="227"/>
      <c r="F8" s="78" t="s">
        <v>12</v>
      </c>
      <c r="G8" s="78"/>
      <c r="H8" s="78"/>
      <c r="I8" s="78"/>
      <c r="J8" s="78"/>
      <c r="K8" s="142"/>
      <c r="L8" s="142"/>
      <c r="M8" s="143"/>
      <c r="N8" s="143"/>
    </row>
    <row r="9" spans="2:14" s="18" customFormat="1" ht="15.75" customHeight="1">
      <c r="B9" s="19">
        <v>1</v>
      </c>
      <c r="C9" s="20" t="s">
        <v>15</v>
      </c>
      <c r="D9" s="9">
        <v>14000</v>
      </c>
      <c r="E9" s="21"/>
      <c r="F9" s="23" t="s">
        <v>2</v>
      </c>
      <c r="G9" s="80"/>
      <c r="H9" s="80"/>
      <c r="I9" s="80"/>
      <c r="J9" s="80"/>
      <c r="K9" s="144"/>
      <c r="L9" s="144"/>
      <c r="M9" s="144"/>
      <c r="N9" s="144"/>
    </row>
    <row r="10" spans="2:14" s="18" customFormat="1" ht="15.75" customHeight="1">
      <c r="B10" s="24">
        <v>2</v>
      </c>
      <c r="C10" s="25" t="s">
        <v>16</v>
      </c>
      <c r="D10" s="10">
        <f>24*7*46</f>
        <v>7728</v>
      </c>
      <c r="E10" s="21"/>
      <c r="F10" s="23" t="s">
        <v>2</v>
      </c>
      <c r="G10" s="80"/>
      <c r="H10" s="80"/>
      <c r="I10" s="80"/>
      <c r="J10" s="80"/>
      <c r="K10" s="144"/>
      <c r="L10" s="144"/>
      <c r="M10" s="144"/>
      <c r="N10" s="144"/>
    </row>
    <row r="11" spans="2:14" s="18" customFormat="1" ht="15.75" customHeight="1">
      <c r="B11" s="24">
        <v>3</v>
      </c>
      <c r="C11" s="25" t="s">
        <v>17</v>
      </c>
      <c r="D11" s="11">
        <v>0.6</v>
      </c>
      <c r="E11" s="26"/>
      <c r="F11" s="23" t="s">
        <v>2</v>
      </c>
      <c r="G11" s="80"/>
      <c r="H11" s="80"/>
      <c r="I11" s="80"/>
      <c r="J11" s="80"/>
      <c r="K11" s="144"/>
      <c r="L11" s="144"/>
      <c r="M11" s="144"/>
      <c r="N11" s="144"/>
    </row>
    <row r="12" spans="2:14" ht="15.75" customHeight="1">
      <c r="B12" s="28">
        <v>4</v>
      </c>
      <c r="C12" s="29" t="s">
        <v>18</v>
      </c>
      <c r="D12" s="30">
        <f>D10*D11</f>
        <v>4636.8</v>
      </c>
      <c r="E12" s="31"/>
      <c r="F12" s="32" t="s">
        <v>91</v>
      </c>
      <c r="G12" s="81"/>
      <c r="H12" s="81"/>
      <c r="I12" s="81"/>
      <c r="J12" s="81"/>
      <c r="K12" s="77"/>
      <c r="L12" s="77"/>
      <c r="M12" s="77"/>
      <c r="N12" s="77"/>
    </row>
    <row r="13" spans="2:14" s="18" customFormat="1" ht="15.75" customHeight="1">
      <c r="B13" s="33">
        <v>5</v>
      </c>
      <c r="C13" s="34" t="s">
        <v>19</v>
      </c>
      <c r="D13" s="35">
        <f>D9/100*D10*D11</f>
        <v>649152</v>
      </c>
      <c r="E13" s="36"/>
      <c r="F13" s="22" t="s">
        <v>236</v>
      </c>
      <c r="G13" s="82"/>
      <c r="H13" s="82"/>
      <c r="I13" s="82"/>
      <c r="J13" s="82"/>
      <c r="K13" s="144"/>
      <c r="L13" s="144"/>
      <c r="M13" s="144"/>
      <c r="N13" s="144"/>
    </row>
    <row r="14" spans="2:9" s="18" customFormat="1" ht="15.75" customHeight="1">
      <c r="B14" s="66">
        <v>6</v>
      </c>
      <c r="C14" s="25" t="s">
        <v>70</v>
      </c>
      <c r="D14" s="90">
        <f>D13*100000/1400/2000</f>
        <v>23184</v>
      </c>
      <c r="E14" s="36"/>
      <c r="F14" s="72" t="s">
        <v>46</v>
      </c>
      <c r="G14" s="23"/>
      <c r="H14" s="23"/>
      <c r="I14" s="23"/>
    </row>
    <row r="15" spans="2:9" s="18" customFormat="1" ht="15.75" customHeight="1">
      <c r="B15" s="33">
        <v>7</v>
      </c>
      <c r="C15" s="34" t="s">
        <v>195</v>
      </c>
      <c r="D15" s="145">
        <f>D13*100000/D14/2000</f>
        <v>1400</v>
      </c>
      <c r="E15" s="36"/>
      <c r="F15" s="32" t="s">
        <v>106</v>
      </c>
      <c r="G15" s="23"/>
      <c r="H15" s="23"/>
      <c r="I15" s="23"/>
    </row>
    <row r="16" spans="2:9" ht="19.5" customHeight="1">
      <c r="B16" s="232" t="s">
        <v>50</v>
      </c>
      <c r="C16" s="233"/>
      <c r="D16" s="233"/>
      <c r="E16" s="234"/>
      <c r="F16" s="32"/>
      <c r="G16" s="32"/>
      <c r="H16" s="32"/>
      <c r="I16" s="32"/>
    </row>
    <row r="17" spans="2:9" ht="15.75" customHeight="1">
      <c r="B17" s="24">
        <v>8</v>
      </c>
      <c r="C17" s="20" t="s">
        <v>204</v>
      </c>
      <c r="D17" s="86">
        <v>1450</v>
      </c>
      <c r="E17" s="146"/>
      <c r="F17" s="72" t="s">
        <v>46</v>
      </c>
      <c r="G17" s="32"/>
      <c r="H17" s="32"/>
      <c r="I17" s="32"/>
    </row>
    <row r="18" spans="2:9" ht="15.75" customHeight="1">
      <c r="B18" s="24">
        <v>9</v>
      </c>
      <c r="C18" s="20" t="s">
        <v>224</v>
      </c>
      <c r="D18" s="86">
        <v>100</v>
      </c>
      <c r="E18" s="147"/>
      <c r="F18" s="72" t="s">
        <v>46</v>
      </c>
      <c r="G18" s="32"/>
      <c r="H18" s="32"/>
      <c r="I18" s="32"/>
    </row>
    <row r="19" spans="2:9" ht="15.75" customHeight="1">
      <c r="B19" s="24">
        <v>10</v>
      </c>
      <c r="C19" s="20" t="s">
        <v>109</v>
      </c>
      <c r="D19" s="87">
        <v>3</v>
      </c>
      <c r="E19" s="148"/>
      <c r="F19" s="72" t="s">
        <v>46</v>
      </c>
      <c r="G19" s="32"/>
      <c r="H19" s="32"/>
      <c r="I19" s="32"/>
    </row>
    <row r="20" spans="2:9" ht="15.75" customHeight="1">
      <c r="B20" s="28">
        <v>11</v>
      </c>
      <c r="C20" s="37" t="s">
        <v>20</v>
      </c>
      <c r="D20" s="8">
        <f>0.0258+3.7855*D19+0.60844*D19^2-0.06275*D19^3+0.00493*D19^4</f>
        <v>15.563340000000002</v>
      </c>
      <c r="E20" s="149"/>
      <c r="F20" s="32" t="s">
        <v>110</v>
      </c>
      <c r="H20" s="32"/>
      <c r="I20" s="32"/>
    </row>
    <row r="21" spans="2:9" ht="15.75" customHeight="1">
      <c r="B21" s="28">
        <v>12</v>
      </c>
      <c r="C21" s="37" t="s">
        <v>44</v>
      </c>
      <c r="D21" s="150">
        <f>D49</f>
        <v>54.5478982</v>
      </c>
      <c r="E21" s="151"/>
      <c r="F21" s="32" t="s">
        <v>97</v>
      </c>
      <c r="G21" s="32"/>
      <c r="H21" s="32"/>
      <c r="I21" s="32"/>
    </row>
    <row r="22" spans="2:9" ht="18" customHeight="1">
      <c r="B22" s="241" t="s">
        <v>71</v>
      </c>
      <c r="C22" s="242"/>
      <c r="D22" s="242"/>
      <c r="E22" s="243"/>
      <c r="F22" s="81"/>
      <c r="G22" s="32"/>
      <c r="H22" s="32"/>
      <c r="I22" s="32"/>
    </row>
    <row r="23" spans="2:9" ht="15.75" customHeight="1">
      <c r="B23" s="24">
        <v>13</v>
      </c>
      <c r="C23" s="20" t="s">
        <v>55</v>
      </c>
      <c r="D23" s="86">
        <v>100</v>
      </c>
      <c r="E23" s="146"/>
      <c r="F23" s="14" t="s">
        <v>241</v>
      </c>
      <c r="G23" s="32"/>
      <c r="H23" s="32"/>
      <c r="I23" s="32"/>
    </row>
    <row r="24" spans="2:9" ht="15.75" customHeight="1">
      <c r="B24" s="24">
        <v>14</v>
      </c>
      <c r="C24" s="20" t="s">
        <v>240</v>
      </c>
      <c r="D24" s="152"/>
      <c r="E24" s="91">
        <v>700</v>
      </c>
      <c r="F24" s="72" t="s">
        <v>95</v>
      </c>
      <c r="G24" s="32"/>
      <c r="H24" s="32"/>
      <c r="I24" s="32"/>
    </row>
    <row r="25" spans="2:9" ht="15.75" customHeight="1">
      <c r="B25" s="24">
        <v>15</v>
      </c>
      <c r="C25" s="20" t="s">
        <v>107</v>
      </c>
      <c r="D25" s="86">
        <v>1350</v>
      </c>
      <c r="E25" s="91">
        <v>1350</v>
      </c>
      <c r="F25" s="72" t="s">
        <v>46</v>
      </c>
      <c r="G25" s="32"/>
      <c r="H25" s="32"/>
      <c r="I25" s="32"/>
    </row>
    <row r="26" spans="2:9" ht="25.5">
      <c r="B26" s="28">
        <v>16</v>
      </c>
      <c r="C26" s="83" t="s">
        <v>191</v>
      </c>
      <c r="D26" s="153">
        <f>$E$56+$F$57*(D25-$D$56)</f>
        <v>488.57142857142856</v>
      </c>
      <c r="E26" s="154">
        <f>$E$64-$F$61*(E24-D23)</f>
        <v>344.3654199877376</v>
      </c>
      <c r="F26" s="114" t="s">
        <v>225</v>
      </c>
      <c r="G26" s="32"/>
      <c r="H26" s="32"/>
      <c r="I26" s="32"/>
    </row>
    <row r="27" spans="2:9" ht="15.75" customHeight="1">
      <c r="B27" s="28">
        <v>17</v>
      </c>
      <c r="C27" s="83" t="s">
        <v>194</v>
      </c>
      <c r="D27" s="155">
        <f>(D21/100)*D15-D26</f>
        <v>275.0991462285715</v>
      </c>
      <c r="E27" s="156">
        <f>D27</f>
        <v>275.0991462285715</v>
      </c>
      <c r="F27" s="114" t="s">
        <v>242</v>
      </c>
      <c r="G27" s="32"/>
      <c r="H27" s="32"/>
      <c r="I27" s="32"/>
    </row>
    <row r="28" spans="2:9" ht="25.5">
      <c r="B28" s="28">
        <v>18</v>
      </c>
      <c r="C28" s="83" t="s">
        <v>190</v>
      </c>
      <c r="D28" s="155">
        <f>D26+D27</f>
        <v>763.6705748</v>
      </c>
      <c r="E28" s="156">
        <f>E26+E27</f>
        <v>619.4645662163091</v>
      </c>
      <c r="F28" s="114" t="s">
        <v>243</v>
      </c>
      <c r="G28" s="32"/>
      <c r="H28" s="32"/>
      <c r="I28" s="32"/>
    </row>
    <row r="29" spans="2:9" ht="25.5">
      <c r="B29" s="28">
        <v>19</v>
      </c>
      <c r="C29" s="83" t="s">
        <v>193</v>
      </c>
      <c r="D29" s="155">
        <f>D28/($D$21/100)</f>
        <v>1400</v>
      </c>
      <c r="E29" s="156">
        <f>E28/($D$21/100)</f>
        <v>1135.6341612742635</v>
      </c>
      <c r="F29" s="114" t="s">
        <v>244</v>
      </c>
      <c r="G29" s="32"/>
      <c r="H29" s="32"/>
      <c r="I29" s="32"/>
    </row>
    <row r="30" spans="2:5" ht="19.5" customHeight="1">
      <c r="B30" s="241" t="s">
        <v>5</v>
      </c>
      <c r="C30" s="242"/>
      <c r="D30" s="242"/>
      <c r="E30" s="243"/>
    </row>
    <row r="31" spans="2:6" ht="15.75" customHeight="1">
      <c r="B31" s="28">
        <v>20</v>
      </c>
      <c r="C31" s="37" t="s">
        <v>21</v>
      </c>
      <c r="D31" s="53" t="s">
        <v>3</v>
      </c>
      <c r="E31" s="67">
        <f>(D29-E29)/D29</f>
        <v>0.18883274194695462</v>
      </c>
      <c r="F31" s="27" t="s">
        <v>245</v>
      </c>
    </row>
    <row r="32" spans="2:8" s="14" customFormat="1" ht="15.75" customHeight="1">
      <c r="B32" s="28">
        <v>21</v>
      </c>
      <c r="C32" s="37" t="s">
        <v>22</v>
      </c>
      <c r="D32" s="53" t="s">
        <v>3</v>
      </c>
      <c r="E32" s="48">
        <f>(1-E31)*D13</f>
        <v>526570.8478996505</v>
      </c>
      <c r="F32" s="27" t="s">
        <v>246</v>
      </c>
      <c r="G32" s="38"/>
      <c r="H32" s="38"/>
    </row>
    <row r="33" spans="2:7" s="14" customFormat="1" ht="27" customHeight="1">
      <c r="B33" s="55">
        <v>22</v>
      </c>
      <c r="C33" s="230" t="s">
        <v>222</v>
      </c>
      <c r="D33" s="231"/>
      <c r="E33" s="52">
        <f>D13-E32</f>
        <v>122581.15210034954</v>
      </c>
      <c r="F33" s="32" t="s">
        <v>247</v>
      </c>
      <c r="G33" s="40"/>
    </row>
    <row r="34" spans="2:8" ht="18" customHeight="1">
      <c r="B34" s="225" t="s">
        <v>25</v>
      </c>
      <c r="C34" s="226"/>
      <c r="D34" s="226"/>
      <c r="E34" s="227"/>
      <c r="H34" s="38"/>
    </row>
    <row r="35" spans="2:6" ht="15.75" customHeight="1" thickBot="1">
      <c r="B35" s="19">
        <v>23</v>
      </c>
      <c r="C35" s="20" t="s">
        <v>27</v>
      </c>
      <c r="D35" s="49">
        <v>0.95</v>
      </c>
      <c r="E35" s="56"/>
      <c r="F35" s="72" t="s">
        <v>28</v>
      </c>
    </row>
    <row r="36" spans="2:6" ht="26.25" customHeight="1" thickBot="1">
      <c r="B36" s="39">
        <v>24</v>
      </c>
      <c r="C36" s="228" t="s">
        <v>26</v>
      </c>
      <c r="D36" s="229"/>
      <c r="E36" s="41">
        <f>E33*D35</f>
        <v>116452.09449533206</v>
      </c>
      <c r="F36" s="32" t="s">
        <v>248</v>
      </c>
    </row>
    <row r="37" spans="2:8" ht="12.75" customHeight="1">
      <c r="B37" s="239" t="s">
        <v>23</v>
      </c>
      <c r="C37" s="240"/>
      <c r="D37" s="240"/>
      <c r="E37" s="240"/>
      <c r="G37" s="38"/>
      <c r="H37" s="38"/>
    </row>
    <row r="38" spans="2:8" ht="12.75" customHeight="1">
      <c r="B38" s="63"/>
      <c r="C38" s="64"/>
      <c r="D38" s="64"/>
      <c r="E38" s="64"/>
      <c r="G38" s="38"/>
      <c r="H38" s="38"/>
    </row>
    <row r="39" spans="2:5" ht="12.75" customHeight="1">
      <c r="B39" s="250" t="s">
        <v>274</v>
      </c>
      <c r="C39" s="222"/>
      <c r="D39" s="222"/>
      <c r="E39" s="222"/>
    </row>
    <row r="40" spans="2:5" ht="82.5" customHeight="1">
      <c r="B40" s="221" t="s">
        <v>275</v>
      </c>
      <c r="C40" s="222"/>
      <c r="D40" s="222"/>
      <c r="E40" s="222"/>
    </row>
    <row r="41" spans="2:3" ht="12.75" customHeight="1">
      <c r="B41" s="216"/>
      <c r="C41" s="27"/>
    </row>
    <row r="42" spans="2:3" ht="12.75" customHeight="1">
      <c r="B42" s="216"/>
      <c r="C42" s="27"/>
    </row>
    <row r="43" ht="12.75" customHeight="1">
      <c r="C43" s="27" t="s">
        <v>249</v>
      </c>
    </row>
    <row r="44" spans="3:7" ht="13.5" hidden="1" thickBot="1">
      <c r="C44" s="42" t="s">
        <v>11</v>
      </c>
      <c r="G44" s="38"/>
    </row>
    <row r="45" spans="3:5" ht="13.5" hidden="1" thickBot="1">
      <c r="C45" s="43" t="s">
        <v>10</v>
      </c>
      <c r="D45" s="57" t="s">
        <v>3</v>
      </c>
      <c r="E45" s="57" t="s">
        <v>54</v>
      </c>
    </row>
    <row r="46" spans="3:5" ht="12.75" hidden="1">
      <c r="C46" s="44" t="s">
        <v>6</v>
      </c>
      <c r="D46" s="65">
        <f>95-0.025*$D$17</f>
        <v>58.75</v>
      </c>
      <c r="E46" s="65">
        <f>95-0.025*$D$17</f>
        <v>58.75</v>
      </c>
    </row>
    <row r="47" spans="3:5" ht="12.75" hidden="1">
      <c r="C47" s="45" t="s">
        <v>7</v>
      </c>
      <c r="D47" s="59">
        <f>-(-2+0.02*$D$17)*($D$20/100)</f>
        <v>-4.202101800000001</v>
      </c>
      <c r="E47" s="59">
        <f>-(-2+0.02*$D$17)*($D$20/100)</f>
        <v>-4.202101800000001</v>
      </c>
    </row>
    <row r="48" spans="3:5" ht="12.75" hidden="1">
      <c r="C48" s="45" t="s">
        <v>8</v>
      </c>
      <c r="D48" s="60">
        <f>(-2+0.02*$D$18)*(1+$D$20/100)</f>
        <v>0</v>
      </c>
      <c r="E48" s="60">
        <f>(-2+0.02*$D$18)*(1+$D$20/100)</f>
        <v>0</v>
      </c>
    </row>
    <row r="49" spans="3:5" ht="13.5" hidden="1" thickBot="1">
      <c r="C49" s="47" t="s">
        <v>9</v>
      </c>
      <c r="D49" s="61">
        <f>SUM(D46:D48)</f>
        <v>54.5478982</v>
      </c>
      <c r="E49" s="61">
        <f>SUM(E46:E48)</f>
        <v>54.5478982</v>
      </c>
    </row>
    <row r="50" ht="12.75" hidden="1"/>
    <row r="51" ht="12.75" hidden="1">
      <c r="D51" s="157" t="s">
        <v>226</v>
      </c>
    </row>
    <row r="52" spans="1:6" ht="12.75" hidden="1">
      <c r="A52" s="127"/>
      <c r="B52" s="127"/>
      <c r="C52" s="158" t="s">
        <v>227</v>
      </c>
      <c r="D52" s="159">
        <f>(125-50)/500</f>
        <v>0.15</v>
      </c>
      <c r="E52" s="160"/>
      <c r="F52" s="161"/>
    </row>
    <row r="53" spans="1:6" ht="12.75" hidden="1">
      <c r="A53" s="127"/>
      <c r="B53" s="127"/>
      <c r="C53" s="158" t="s">
        <v>68</v>
      </c>
      <c r="D53" s="162">
        <f>(375-272)/700</f>
        <v>0.14714285714285713</v>
      </c>
      <c r="E53" s="161"/>
      <c r="F53" s="161">
        <f>H53*(1000-60)</f>
        <v>0</v>
      </c>
    </row>
    <row r="54" spans="3:6" ht="12.75" hidden="1">
      <c r="C54" s="163"/>
      <c r="D54" s="164"/>
      <c r="E54" s="164"/>
      <c r="F54" s="164"/>
    </row>
    <row r="55" spans="3:6" ht="12.75" hidden="1">
      <c r="C55" s="163"/>
      <c r="D55" s="164" t="s">
        <v>57</v>
      </c>
      <c r="E55" s="164" t="s">
        <v>58</v>
      </c>
      <c r="F55" s="164"/>
    </row>
    <row r="56" spans="3:6" ht="12.75" hidden="1">
      <c r="C56" s="163" t="s">
        <v>59</v>
      </c>
      <c r="D56" s="164">
        <v>1225</v>
      </c>
      <c r="E56" s="164">
        <v>460</v>
      </c>
      <c r="F56" s="164" t="s">
        <v>60</v>
      </c>
    </row>
    <row r="57" spans="3:6" ht="12.75" hidden="1">
      <c r="C57" s="163" t="s">
        <v>61</v>
      </c>
      <c r="D57" s="164">
        <v>1400</v>
      </c>
      <c r="E57" s="164">
        <v>500</v>
      </c>
      <c r="F57" s="164">
        <f>(E57-E56)/(D57-D56)</f>
        <v>0.22857142857142856</v>
      </c>
    </row>
    <row r="58" spans="3:6" ht="12.75" hidden="1">
      <c r="C58" s="163"/>
      <c r="D58" s="164">
        <v>1350</v>
      </c>
      <c r="E58" s="165">
        <f>$E$56+$F$57*(D58-$D$56)</f>
        <v>488.57142857142856</v>
      </c>
      <c r="F58" s="164" t="s">
        <v>62</v>
      </c>
    </row>
    <row r="59" spans="3:6" ht="12.75" hidden="1">
      <c r="C59" s="163"/>
      <c r="D59" s="164">
        <v>1300</v>
      </c>
      <c r="E59" s="165">
        <f>$E$56+$F$57*(D59-$D$56)</f>
        <v>477.14285714285717</v>
      </c>
      <c r="F59" s="164"/>
    </row>
    <row r="60" spans="3:6" ht="12.75" hidden="1">
      <c r="C60" s="163" t="s">
        <v>63</v>
      </c>
      <c r="D60" s="164">
        <v>60</v>
      </c>
      <c r="E60" s="164">
        <v>0</v>
      </c>
      <c r="F60" s="164" t="s">
        <v>64</v>
      </c>
    </row>
    <row r="61" spans="3:6" ht="12.75" hidden="1">
      <c r="C61" s="163"/>
      <c r="D61" s="164">
        <v>1225</v>
      </c>
      <c r="E61" s="164">
        <v>280</v>
      </c>
      <c r="F61" s="164">
        <f>(E61-E60)/(D61-D60)</f>
        <v>0.24034334763948498</v>
      </c>
    </row>
    <row r="62" spans="3:6" ht="12.75" hidden="1">
      <c r="C62" s="163"/>
      <c r="D62" s="164"/>
      <c r="E62" s="164"/>
      <c r="F62" s="164"/>
    </row>
    <row r="63" spans="3:6" ht="12.75" hidden="1">
      <c r="C63" s="163" t="s">
        <v>65</v>
      </c>
      <c r="D63" s="164"/>
      <c r="E63" s="164"/>
      <c r="F63" s="164"/>
    </row>
    <row r="64" spans="3:6" ht="12.75" hidden="1">
      <c r="C64" s="166" t="s">
        <v>56</v>
      </c>
      <c r="D64" s="167">
        <f>$E$56+$F$57*(D25-$D$56)</f>
        <v>488.57142857142856</v>
      </c>
      <c r="E64" s="167">
        <f>$E$56+$F$57*(E25-$D$56)</f>
        <v>488.57142857142856</v>
      </c>
      <c r="F64" s="168"/>
    </row>
    <row r="70" ht="12.75">
      <c r="C70" s="169"/>
    </row>
    <row r="75" ht="12.75">
      <c r="C75" s="169"/>
    </row>
  </sheetData>
  <sheetProtection sheet="1" objects="1" scenarios="1"/>
  <protectedRanges>
    <protectedRange sqref="D35" name="Gas Rate"/>
    <protectedRange sqref="D9:D11" name="Equip Load"/>
  </protectedRanges>
  <mergeCells count="14">
    <mergeCell ref="B4:E4"/>
    <mergeCell ref="B5:E5"/>
    <mergeCell ref="B37:E37"/>
    <mergeCell ref="B30:E30"/>
    <mergeCell ref="D6:E6"/>
    <mergeCell ref="B6:C7"/>
    <mergeCell ref="C36:D36"/>
    <mergeCell ref="C33:D33"/>
    <mergeCell ref="B8:E8"/>
    <mergeCell ref="B16:E16"/>
    <mergeCell ref="B22:E22"/>
    <mergeCell ref="B34:E34"/>
    <mergeCell ref="B39:E39"/>
    <mergeCell ref="B40:E40"/>
  </mergeCells>
  <conditionalFormatting sqref="D10">
    <cfRule type="cellIs" priority="1" dxfId="1" operator="notBetween" stopIfTrue="1">
      <formula>0</formula>
      <formula>8760</formula>
    </cfRule>
  </conditionalFormatting>
  <conditionalFormatting sqref="D11">
    <cfRule type="cellIs" priority="2" dxfId="1" operator="notBetween" stopIfTrue="1">
      <formula>0</formula>
      <formula>1</formula>
    </cfRule>
  </conditionalFormatting>
  <printOptions/>
  <pageMargins left="0.75" right="0.75" top="0.5" bottom="1" header="0.5" footer="0.5"/>
  <pageSetup fitToHeight="1" fitToWidth="1" horizontalDpi="600" verticalDpi="600" orientation="portrait" scale="83" r:id="rId4"/>
  <headerFooter alignWithMargins="0">
    <oddFooter>&amp;L&amp;F / &amp;A&amp;C&amp;P of &amp;N&amp;R&amp;D</oddFooter>
  </headerFooter>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L56"/>
  <sheetViews>
    <sheetView showGridLines="0" workbookViewId="0" topLeftCell="A1">
      <selection activeCell="B5" sqref="B5:E5"/>
    </sheetView>
  </sheetViews>
  <sheetFormatPr defaultColWidth="9.140625" defaultRowHeight="12.75"/>
  <cols>
    <col min="1" max="1" width="3.28125" style="27" customWidth="1"/>
    <col min="2" max="2" width="3.8515625" style="27" customWidth="1"/>
    <col min="3" max="3" width="29.421875" style="107" customWidth="1"/>
    <col min="4" max="4" width="13.140625" style="27" customWidth="1"/>
    <col min="5" max="5" width="13.28125" style="27" customWidth="1"/>
    <col min="6" max="6" width="47.00390625" style="27" customWidth="1"/>
    <col min="7" max="7" width="12.140625" style="27" customWidth="1"/>
    <col min="8" max="8" width="13.8515625" style="27" bestFit="1" customWidth="1"/>
    <col min="9" max="16384" width="9.140625" style="27" customWidth="1"/>
  </cols>
  <sheetData>
    <row r="1" spans="4:8" ht="30">
      <c r="D1" s="108"/>
      <c r="H1" s="12"/>
    </row>
    <row r="2" s="12" customFormat="1" ht="30">
      <c r="D2" s="109"/>
    </row>
    <row r="3" spans="3:7" s="12" customFormat="1" ht="30">
      <c r="C3" s="110"/>
      <c r="G3" s="13"/>
    </row>
    <row r="4" spans="2:7" s="12" customFormat="1" ht="30">
      <c r="B4" s="235" t="s">
        <v>24</v>
      </c>
      <c r="C4" s="236"/>
      <c r="D4" s="236"/>
      <c r="E4" s="236"/>
      <c r="G4" s="13"/>
    </row>
    <row r="5" spans="2:7" s="12" customFormat="1" ht="30.75" thickBot="1">
      <c r="B5" s="251" t="s">
        <v>220</v>
      </c>
      <c r="C5" s="252"/>
      <c r="D5" s="252"/>
      <c r="E5" s="252"/>
      <c r="G5" s="13"/>
    </row>
    <row r="6" spans="2:12" s="14" customFormat="1" ht="19.5" customHeight="1">
      <c r="B6" s="215" t="s">
        <v>0</v>
      </c>
      <c r="C6" s="135"/>
      <c r="D6" s="261" t="s">
        <v>1</v>
      </c>
      <c r="E6" s="262"/>
      <c r="F6" s="88"/>
      <c r="G6" s="16"/>
      <c r="H6" s="16"/>
      <c r="I6" s="16"/>
      <c r="J6" s="16"/>
      <c r="K6" s="16"/>
      <c r="L6" s="16"/>
    </row>
    <row r="7" spans="2:12" s="14" customFormat="1" ht="34.5" customHeight="1">
      <c r="B7" s="245"/>
      <c r="C7" s="246"/>
      <c r="D7" s="51" t="s">
        <v>13</v>
      </c>
      <c r="E7" s="92" t="s">
        <v>14</v>
      </c>
      <c r="F7" s="89" t="s">
        <v>35</v>
      </c>
      <c r="G7" s="16"/>
      <c r="H7" s="16"/>
      <c r="I7" s="16"/>
      <c r="J7" s="16"/>
      <c r="K7" s="16"/>
      <c r="L7" s="16"/>
    </row>
    <row r="8" spans="2:12" s="14" customFormat="1" ht="19.5" customHeight="1">
      <c r="B8" s="263" t="s">
        <v>4</v>
      </c>
      <c r="C8" s="226"/>
      <c r="D8" s="226"/>
      <c r="E8" s="264"/>
      <c r="F8" s="78" t="s">
        <v>12</v>
      </c>
      <c r="G8" s="70"/>
      <c r="H8" s="70"/>
      <c r="I8" s="70"/>
      <c r="J8" s="71"/>
      <c r="K8" s="16"/>
      <c r="L8" s="16"/>
    </row>
    <row r="9" spans="2:9" s="18" customFormat="1" ht="15.75" customHeight="1">
      <c r="B9" s="93">
        <v>1</v>
      </c>
      <c r="C9" s="20" t="s">
        <v>15</v>
      </c>
      <c r="D9" s="9">
        <v>30000</v>
      </c>
      <c r="E9" s="94"/>
      <c r="F9" s="23" t="s">
        <v>2</v>
      </c>
      <c r="G9" s="23"/>
      <c r="H9" s="23"/>
      <c r="I9" s="23"/>
    </row>
    <row r="10" spans="2:9" s="18" customFormat="1" ht="15.75" customHeight="1">
      <c r="B10" s="95">
        <v>2</v>
      </c>
      <c r="C10" s="25" t="s">
        <v>16</v>
      </c>
      <c r="D10" s="10">
        <f>24*7*46</f>
        <v>7728</v>
      </c>
      <c r="E10" s="94"/>
      <c r="F10" s="23" t="s">
        <v>2</v>
      </c>
      <c r="G10" s="23"/>
      <c r="H10" s="23"/>
      <c r="I10" s="23"/>
    </row>
    <row r="11" spans="2:9" s="18" customFormat="1" ht="15.75" customHeight="1">
      <c r="B11" s="95">
        <v>3</v>
      </c>
      <c r="C11" s="25" t="s">
        <v>17</v>
      </c>
      <c r="D11" s="11">
        <v>0.4</v>
      </c>
      <c r="E11" s="96"/>
      <c r="F11" s="23" t="s">
        <v>2</v>
      </c>
      <c r="G11" s="23"/>
      <c r="H11" s="23"/>
      <c r="I11" s="23"/>
    </row>
    <row r="12" spans="2:9" ht="15.75" customHeight="1">
      <c r="B12" s="53">
        <v>4</v>
      </c>
      <c r="C12" s="29" t="s">
        <v>18</v>
      </c>
      <c r="D12" s="30">
        <f>D10*D11</f>
        <v>3091.2000000000003</v>
      </c>
      <c r="E12" s="97"/>
      <c r="F12" s="32" t="s">
        <v>91</v>
      </c>
      <c r="H12" s="32"/>
      <c r="I12" s="32"/>
    </row>
    <row r="13" spans="2:9" s="18" customFormat="1" ht="15.75" customHeight="1">
      <c r="B13" s="98">
        <v>5</v>
      </c>
      <c r="C13" s="34" t="s">
        <v>19</v>
      </c>
      <c r="D13" s="35">
        <f>D9/100*D10*D11</f>
        <v>927360</v>
      </c>
      <c r="E13" s="99"/>
      <c r="F13" s="22" t="s">
        <v>236</v>
      </c>
      <c r="G13" s="23"/>
      <c r="H13" s="23"/>
      <c r="I13" s="23"/>
    </row>
    <row r="14" spans="2:9" s="18" customFormat="1" ht="15.75" customHeight="1">
      <c r="B14" s="100">
        <v>6</v>
      </c>
      <c r="C14" s="25" t="s">
        <v>70</v>
      </c>
      <c r="D14" s="90">
        <f>D13*100000/750/2000</f>
        <v>61824</v>
      </c>
      <c r="E14" s="99"/>
      <c r="F14" s="72" t="s">
        <v>46</v>
      </c>
      <c r="G14" s="23"/>
      <c r="H14" s="23"/>
      <c r="I14" s="23"/>
    </row>
    <row r="15" spans="2:9" s="18" customFormat="1" ht="15.75" customHeight="1">
      <c r="B15" s="98">
        <v>7</v>
      </c>
      <c r="C15" s="34" t="s">
        <v>201</v>
      </c>
      <c r="D15" s="145">
        <f>D13*100000/D14/2000</f>
        <v>750</v>
      </c>
      <c r="E15" s="99"/>
      <c r="F15" s="32" t="s">
        <v>106</v>
      </c>
      <c r="G15" s="23"/>
      <c r="H15" s="23"/>
      <c r="I15" s="23"/>
    </row>
    <row r="16" spans="2:9" ht="19.5" customHeight="1">
      <c r="B16" s="267" t="s">
        <v>50</v>
      </c>
      <c r="C16" s="233"/>
      <c r="D16" s="233"/>
      <c r="E16" s="268"/>
      <c r="F16" s="32"/>
      <c r="G16" s="32"/>
      <c r="H16" s="32"/>
      <c r="I16" s="32"/>
    </row>
    <row r="17" spans="2:9" ht="15.75" customHeight="1">
      <c r="B17" s="95">
        <v>8</v>
      </c>
      <c r="C17" s="170" t="s">
        <v>204</v>
      </c>
      <c r="D17" s="86">
        <v>1600</v>
      </c>
      <c r="E17" s="171">
        <v>1600</v>
      </c>
      <c r="F17" s="72" t="s">
        <v>46</v>
      </c>
      <c r="G17" s="32"/>
      <c r="H17" s="32"/>
      <c r="I17" s="32"/>
    </row>
    <row r="18" spans="2:9" ht="15.75" customHeight="1">
      <c r="B18" s="95">
        <v>9</v>
      </c>
      <c r="C18" s="170" t="s">
        <v>228</v>
      </c>
      <c r="D18" s="86">
        <v>700</v>
      </c>
      <c r="E18" s="171">
        <f>D18</f>
        <v>700</v>
      </c>
      <c r="F18" s="72" t="s">
        <v>46</v>
      </c>
      <c r="G18" s="32"/>
      <c r="H18" s="32"/>
      <c r="I18" s="32"/>
    </row>
    <row r="19" spans="2:9" ht="15.75" customHeight="1">
      <c r="B19" s="95">
        <v>10</v>
      </c>
      <c r="C19" s="170" t="s">
        <v>67</v>
      </c>
      <c r="D19" s="87">
        <v>3</v>
      </c>
      <c r="E19" s="172">
        <v>3</v>
      </c>
      <c r="F19" s="72" t="s">
        <v>46</v>
      </c>
      <c r="G19" s="32"/>
      <c r="H19" s="32"/>
      <c r="I19" s="32"/>
    </row>
    <row r="20" spans="2:9" ht="15.75" customHeight="1">
      <c r="B20" s="53">
        <v>11</v>
      </c>
      <c r="C20" s="37" t="s">
        <v>20</v>
      </c>
      <c r="D20" s="8">
        <f>0.0258+3.7855*D19+0.60844*D19^2-0.06275*D19^3+0.00493*D19^4</f>
        <v>15.563340000000002</v>
      </c>
      <c r="E20" s="173">
        <f>0.0258+3.7855*E19+0.60844*E19^2-0.06275*E19^3+0.00493*E19^4</f>
        <v>15.563340000000002</v>
      </c>
      <c r="F20" s="32" t="s">
        <v>110</v>
      </c>
      <c r="H20" s="32"/>
      <c r="I20" s="32"/>
    </row>
    <row r="21" spans="2:9" ht="15.75" customHeight="1">
      <c r="B21" s="53">
        <v>12</v>
      </c>
      <c r="C21" s="37" t="s">
        <v>203</v>
      </c>
      <c r="D21" s="150">
        <f>D48</f>
        <v>64.1985988</v>
      </c>
      <c r="E21" s="150">
        <f>E48</f>
        <v>64.1985988</v>
      </c>
      <c r="F21" s="32" t="s">
        <v>97</v>
      </c>
      <c r="G21" s="32"/>
      <c r="H21" s="32"/>
      <c r="I21" s="32"/>
    </row>
    <row r="22" spans="2:9" ht="18" customHeight="1">
      <c r="B22" s="259" t="s">
        <v>69</v>
      </c>
      <c r="C22" s="242"/>
      <c r="D22" s="242"/>
      <c r="E22" s="260"/>
      <c r="F22" s="81"/>
      <c r="G22" s="32"/>
      <c r="H22" s="32"/>
      <c r="I22" s="32"/>
    </row>
    <row r="23" spans="2:9" ht="15.75" customHeight="1">
      <c r="B23" s="24">
        <v>13</v>
      </c>
      <c r="C23" s="170" t="s">
        <v>55</v>
      </c>
      <c r="D23" s="86">
        <v>80</v>
      </c>
      <c r="E23" s="174"/>
      <c r="F23" s="72" t="s">
        <v>251</v>
      </c>
      <c r="G23" s="32"/>
      <c r="H23" s="32"/>
      <c r="I23" s="32"/>
    </row>
    <row r="24" spans="2:9" ht="15.75" customHeight="1">
      <c r="B24" s="24">
        <v>14</v>
      </c>
      <c r="C24" s="170" t="s">
        <v>276</v>
      </c>
      <c r="D24" s="152"/>
      <c r="E24" s="86">
        <v>700</v>
      </c>
      <c r="F24" s="72" t="str">
        <f>IF(OR(D23&gt;=1400,E24&gt;=1400),"Should be less than 1400","Customer Input: This is the basis of the savings")</f>
        <v>Customer Input: This is the basis of the savings</v>
      </c>
      <c r="G24" s="32"/>
      <c r="H24" s="32"/>
      <c r="I24" s="32"/>
    </row>
    <row r="25" spans="2:9" ht="15.75" customHeight="1">
      <c r="B25" s="24">
        <v>15</v>
      </c>
      <c r="C25" s="170" t="s">
        <v>66</v>
      </c>
      <c r="D25" s="86">
        <v>2100</v>
      </c>
      <c r="E25" s="175">
        <f>D25</f>
        <v>2100</v>
      </c>
      <c r="F25" s="72" t="str">
        <f>IF(D25&lt;=1700,"Should be greater than 1700","Customer Input: Both cases to be set the same")</f>
        <v>Customer Input: Both cases to be set the same</v>
      </c>
      <c r="G25" s="32"/>
      <c r="H25" s="32"/>
      <c r="I25" s="32"/>
    </row>
    <row r="26" spans="2:9" ht="25.5">
      <c r="B26" s="28">
        <v>16</v>
      </c>
      <c r="C26" s="176" t="s">
        <v>202</v>
      </c>
      <c r="D26" s="180">
        <f>272+D53*(D25-1700)</f>
        <v>330.85714285714283</v>
      </c>
      <c r="E26" s="180">
        <f>D26-D52*(E24-D23)</f>
        <v>237.85714285714283</v>
      </c>
      <c r="F26" s="114" t="s">
        <v>250</v>
      </c>
      <c r="G26" s="32"/>
      <c r="H26" s="32"/>
      <c r="I26" s="32"/>
    </row>
    <row r="27" spans="2:9" ht="15.75" customHeight="1">
      <c r="B27" s="28">
        <v>17</v>
      </c>
      <c r="C27" s="176" t="s">
        <v>194</v>
      </c>
      <c r="D27" s="155">
        <f>(D21/100)*D15-D26</f>
        <v>150.63234814285715</v>
      </c>
      <c r="E27" s="155">
        <f>D27</f>
        <v>150.63234814285715</v>
      </c>
      <c r="F27" s="114" t="s">
        <v>242</v>
      </c>
      <c r="G27" s="32"/>
      <c r="H27" s="32"/>
      <c r="I27" s="32"/>
    </row>
    <row r="28" spans="2:9" ht="12.75">
      <c r="B28" s="28">
        <v>18</v>
      </c>
      <c r="C28" s="176" t="s">
        <v>190</v>
      </c>
      <c r="D28" s="155">
        <f>D26+D27</f>
        <v>481.489491</v>
      </c>
      <c r="E28" s="155">
        <f>E26+E27</f>
        <v>388.489491</v>
      </c>
      <c r="F28" s="114" t="s">
        <v>243</v>
      </c>
      <c r="G28" s="32"/>
      <c r="H28" s="32"/>
      <c r="I28" s="32"/>
    </row>
    <row r="29" spans="2:9" ht="25.5">
      <c r="B29" s="28">
        <v>19</v>
      </c>
      <c r="C29" s="176" t="s">
        <v>192</v>
      </c>
      <c r="D29" s="155">
        <f>D28/(D21/100)</f>
        <v>750</v>
      </c>
      <c r="E29" s="155">
        <f>E28/(E21/100)</f>
        <v>605.1370252024877</v>
      </c>
      <c r="F29" s="114" t="s">
        <v>244</v>
      </c>
      <c r="G29" s="32"/>
      <c r="H29" s="32"/>
      <c r="I29" s="32"/>
    </row>
    <row r="30" spans="2:5" ht="19.5" customHeight="1">
      <c r="B30" s="259" t="s">
        <v>5</v>
      </c>
      <c r="C30" s="242"/>
      <c r="D30" s="242"/>
      <c r="E30" s="260"/>
    </row>
    <row r="31" spans="2:6" ht="15.75" customHeight="1">
      <c r="B31" s="53">
        <v>20</v>
      </c>
      <c r="C31" s="37" t="s">
        <v>21</v>
      </c>
      <c r="D31" s="53" t="s">
        <v>3</v>
      </c>
      <c r="E31" s="101">
        <f>(D29-E29)/D29</f>
        <v>0.19315063306334967</v>
      </c>
      <c r="F31" s="27" t="s">
        <v>245</v>
      </c>
    </row>
    <row r="32" spans="2:8" s="14" customFormat="1" ht="15.75" customHeight="1">
      <c r="B32" s="53">
        <v>21</v>
      </c>
      <c r="C32" s="37" t="s">
        <v>22</v>
      </c>
      <c r="D32" s="53" t="s">
        <v>3</v>
      </c>
      <c r="E32" s="53">
        <f>D13*E29/D29</f>
        <v>748239.8289223721</v>
      </c>
      <c r="F32" s="27" t="s">
        <v>246</v>
      </c>
      <c r="G32" s="38"/>
      <c r="H32" s="38"/>
    </row>
    <row r="33" spans="2:7" s="14" customFormat="1" ht="27" customHeight="1">
      <c r="B33" s="102">
        <v>22</v>
      </c>
      <c r="C33" s="230" t="s">
        <v>222</v>
      </c>
      <c r="D33" s="231"/>
      <c r="E33" s="92">
        <f>D13-E32</f>
        <v>179120.17107762792</v>
      </c>
      <c r="F33" s="32" t="s">
        <v>247</v>
      </c>
      <c r="G33" s="40"/>
    </row>
    <row r="34" spans="2:8" ht="18" customHeight="1">
      <c r="B34" s="263" t="s">
        <v>25</v>
      </c>
      <c r="C34" s="226"/>
      <c r="D34" s="226"/>
      <c r="E34" s="264"/>
      <c r="H34" s="38"/>
    </row>
    <row r="35" spans="2:6" ht="15.75" customHeight="1" thickBot="1">
      <c r="B35" s="93">
        <v>23</v>
      </c>
      <c r="C35" s="20" t="s">
        <v>27</v>
      </c>
      <c r="D35" s="49">
        <v>0.95</v>
      </c>
      <c r="E35" s="103"/>
      <c r="F35" s="72" t="s">
        <v>28</v>
      </c>
    </row>
    <row r="36" spans="2:6" ht="26.25" customHeight="1">
      <c r="B36" s="104">
        <v>24</v>
      </c>
      <c r="C36" s="265" t="s">
        <v>26</v>
      </c>
      <c r="D36" s="266"/>
      <c r="E36" s="105">
        <f>E33*D35</f>
        <v>170164.16252374652</v>
      </c>
      <c r="F36" s="32" t="s">
        <v>248</v>
      </c>
    </row>
    <row r="37" spans="2:8" ht="12.75" customHeight="1">
      <c r="B37" s="257" t="s">
        <v>23</v>
      </c>
      <c r="C37" s="258"/>
      <c r="D37" s="258"/>
      <c r="E37" s="258"/>
      <c r="G37" s="38"/>
      <c r="H37" s="38"/>
    </row>
    <row r="38" ht="12.75" customHeight="1">
      <c r="C38" s="27"/>
    </row>
    <row r="39" spans="2:5" ht="12.75" customHeight="1">
      <c r="B39" s="250" t="s">
        <v>274</v>
      </c>
      <c r="C39" s="222"/>
      <c r="D39" s="222"/>
      <c r="E39" s="222"/>
    </row>
    <row r="40" spans="2:5" ht="82.5" customHeight="1">
      <c r="B40" s="221" t="s">
        <v>275</v>
      </c>
      <c r="C40" s="222"/>
      <c r="D40" s="222"/>
      <c r="E40" s="222"/>
    </row>
    <row r="41" ht="12.75" customHeight="1">
      <c r="C41" s="27"/>
    </row>
    <row r="42" ht="12.75" customHeight="1">
      <c r="C42" s="27" t="s">
        <v>112</v>
      </c>
    </row>
    <row r="43" spans="3:7" ht="13.5" hidden="1" thickBot="1">
      <c r="C43" s="42" t="s">
        <v>11</v>
      </c>
      <c r="G43" s="38"/>
    </row>
    <row r="44" spans="3:5" ht="13.5" hidden="1" thickBot="1">
      <c r="C44" s="43" t="s">
        <v>10</v>
      </c>
      <c r="D44" s="57" t="s">
        <v>3</v>
      </c>
      <c r="E44" s="57" t="s">
        <v>54</v>
      </c>
    </row>
    <row r="45" spans="3:5" ht="12.75" hidden="1">
      <c r="C45" s="44" t="s">
        <v>6</v>
      </c>
      <c r="D45" s="65">
        <f>95-0.025*D17</f>
        <v>55</v>
      </c>
      <c r="E45" s="65">
        <f>95-0.025*E17</f>
        <v>55</v>
      </c>
    </row>
    <row r="46" spans="3:5" ht="12.75" hidden="1">
      <c r="C46" s="45" t="s">
        <v>7</v>
      </c>
      <c r="D46" s="59">
        <f>-(-2+0.02*D17)*(D20/100)</f>
        <v>-4.669002000000001</v>
      </c>
      <c r="E46" s="59">
        <f>-(-2+0.02*E17)*(E20/100)</f>
        <v>-4.669002000000001</v>
      </c>
    </row>
    <row r="47" spans="3:5" ht="12.75" hidden="1">
      <c r="C47" s="45" t="s">
        <v>8</v>
      </c>
      <c r="D47" s="60">
        <f>(-2+0.02*D18)*(1+D20/100)</f>
        <v>13.867600800000002</v>
      </c>
      <c r="E47" s="60">
        <f>(-2+0.02*E18)*(1+E20/100)</f>
        <v>13.867600800000002</v>
      </c>
    </row>
    <row r="48" spans="3:5" ht="13.5" hidden="1" thickBot="1">
      <c r="C48" s="47" t="s">
        <v>9</v>
      </c>
      <c r="D48" s="61">
        <f>SUM(D45:D47)</f>
        <v>64.1985988</v>
      </c>
      <c r="E48" s="61">
        <f>SUM(E45:E47)</f>
        <v>64.1985988</v>
      </c>
    </row>
    <row r="49" ht="12.75" hidden="1"/>
    <row r="50" ht="12.75" hidden="1"/>
    <row r="51" spans="1:6" ht="12.75" hidden="1">
      <c r="A51" s="127"/>
      <c r="B51" s="127"/>
      <c r="C51" s="177"/>
      <c r="D51" s="157" t="s">
        <v>226</v>
      </c>
      <c r="E51" s="160"/>
      <c r="F51" s="161"/>
    </row>
    <row r="52" spans="1:6" ht="12.75" hidden="1">
      <c r="A52" s="127"/>
      <c r="B52" s="127"/>
      <c r="C52" s="158" t="s">
        <v>227</v>
      </c>
      <c r="D52" s="159">
        <f>(125-50)/500</f>
        <v>0.15</v>
      </c>
      <c r="E52" s="161"/>
      <c r="F52" s="161">
        <f>H52*(1000-60)</f>
        <v>0</v>
      </c>
    </row>
    <row r="53" spans="1:6" ht="12.75" hidden="1">
      <c r="A53" s="127"/>
      <c r="B53" s="127"/>
      <c r="C53" s="158" t="s">
        <v>68</v>
      </c>
      <c r="D53" s="162">
        <f>(375-272)/700</f>
        <v>0.14714285714285713</v>
      </c>
      <c r="E53" s="161"/>
      <c r="F53" s="161"/>
    </row>
    <row r="54" spans="1:6" ht="12.75">
      <c r="A54" s="127"/>
      <c r="B54" s="127"/>
      <c r="C54" s="158"/>
      <c r="D54" s="161"/>
      <c r="E54" s="161"/>
      <c r="F54" s="161"/>
    </row>
    <row r="55" spans="1:6" ht="12.75">
      <c r="A55" s="127"/>
      <c r="B55" s="127"/>
      <c r="C55" s="178"/>
      <c r="D55" s="179"/>
      <c r="E55" s="179"/>
      <c r="F55" s="179"/>
    </row>
    <row r="56" spans="1:6" ht="12.75">
      <c r="A56" s="127"/>
      <c r="B56" s="127"/>
      <c r="C56" s="127"/>
      <c r="D56" s="127"/>
      <c r="E56" s="127"/>
      <c r="F56" s="127"/>
    </row>
  </sheetData>
  <sheetProtection sheet="1" objects="1" scenarios="1"/>
  <protectedRanges>
    <protectedRange sqref="D35" name="Gas Rate"/>
    <protectedRange sqref="D9:D11" name="Equip Load"/>
  </protectedRanges>
  <mergeCells count="14">
    <mergeCell ref="B4:E4"/>
    <mergeCell ref="B5:E5"/>
    <mergeCell ref="D6:E6"/>
    <mergeCell ref="B6:C7"/>
    <mergeCell ref="B34:E34"/>
    <mergeCell ref="C36:D36"/>
    <mergeCell ref="C33:D33"/>
    <mergeCell ref="B8:E8"/>
    <mergeCell ref="B16:E16"/>
    <mergeCell ref="B22:E22"/>
    <mergeCell ref="B39:E39"/>
    <mergeCell ref="B40:E40"/>
    <mergeCell ref="B37:E37"/>
    <mergeCell ref="B30:E30"/>
  </mergeCells>
  <conditionalFormatting sqref="F24">
    <cfRule type="expression" priority="1" dxfId="2" stopIfTrue="1">
      <formula>OR(D23&gt;=1400,E24&gt;=1400)</formula>
    </cfRule>
  </conditionalFormatting>
  <conditionalFormatting sqref="E24 D23:D24">
    <cfRule type="cellIs" priority="2" dxfId="1" operator="greaterThanOrEqual" stopIfTrue="1">
      <formula>1400</formula>
    </cfRule>
  </conditionalFormatting>
  <conditionalFormatting sqref="D10">
    <cfRule type="cellIs" priority="3" dxfId="1" operator="notBetween" stopIfTrue="1">
      <formula>0</formula>
      <formula>8760</formula>
    </cfRule>
  </conditionalFormatting>
  <conditionalFormatting sqref="D11">
    <cfRule type="cellIs" priority="4" dxfId="1" operator="notBetween" stopIfTrue="1">
      <formula>0</formula>
      <formula>1</formula>
    </cfRule>
  </conditionalFormatting>
  <conditionalFormatting sqref="D25:E25">
    <cfRule type="cellIs" priority="5" dxfId="1" operator="lessThanOrEqual" stopIfTrue="1">
      <formula>1700</formula>
    </cfRule>
  </conditionalFormatting>
  <conditionalFormatting sqref="F25">
    <cfRule type="expression" priority="6" dxfId="2" stopIfTrue="1">
      <formula>$D$25&lt;=1700</formula>
    </cfRule>
  </conditionalFormatting>
  <printOptions/>
  <pageMargins left="0.75" right="0.75" top="0.5" bottom="1" header="0.5" footer="0.5"/>
  <pageSetup fitToHeight="1" fitToWidth="1" horizontalDpi="600" verticalDpi="600" orientation="portrait" scale="82" r:id="rId4"/>
  <headerFooter alignWithMargins="0">
    <oddFooter>&amp;L&amp;F / &amp;A&amp;C&amp;P of &amp;N&amp;R&amp;D</oddFooter>
  </headerFooter>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B1:L73"/>
  <sheetViews>
    <sheetView showGridLines="0" tabSelected="1" workbookViewId="0" topLeftCell="A3">
      <selection activeCell="B5" sqref="B5:E5"/>
    </sheetView>
  </sheetViews>
  <sheetFormatPr defaultColWidth="9.140625" defaultRowHeight="12.75"/>
  <cols>
    <col min="1" max="1" width="3.28125" style="27" customWidth="1"/>
    <col min="2" max="2" width="3.8515625" style="27" customWidth="1"/>
    <col min="3" max="3" width="32.8515625" style="107" customWidth="1"/>
    <col min="4" max="4" width="13.140625" style="27" customWidth="1"/>
    <col min="5" max="5" width="13.28125" style="27" customWidth="1"/>
    <col min="6" max="6" width="45.57421875" style="27" customWidth="1"/>
    <col min="7" max="7" width="12.140625" style="27" customWidth="1"/>
    <col min="8" max="8" width="13.8515625" style="27" bestFit="1" customWidth="1"/>
    <col min="9" max="16384" width="9.140625" style="27" customWidth="1"/>
  </cols>
  <sheetData>
    <row r="1" spans="4:8" ht="30">
      <c r="D1" s="108"/>
      <c r="H1" s="12"/>
    </row>
    <row r="2" s="12" customFormat="1" ht="30">
      <c r="D2" s="109"/>
    </row>
    <row r="3" spans="3:7" s="12" customFormat="1" ht="30">
      <c r="C3" s="110"/>
      <c r="G3" s="13"/>
    </row>
    <row r="4" spans="2:7" s="12" customFormat="1" ht="30">
      <c r="B4" s="235" t="s">
        <v>24</v>
      </c>
      <c r="C4" s="236"/>
      <c r="D4" s="236"/>
      <c r="E4" s="236"/>
      <c r="G4" s="13"/>
    </row>
    <row r="5" spans="2:7" s="12" customFormat="1" ht="30">
      <c r="B5" s="251" t="s">
        <v>145</v>
      </c>
      <c r="C5" s="271"/>
      <c r="D5" s="271"/>
      <c r="E5" s="271"/>
      <c r="G5" s="13"/>
    </row>
    <row r="6" spans="2:12" s="14" customFormat="1" ht="19.5" customHeight="1">
      <c r="B6" s="272" t="s">
        <v>0</v>
      </c>
      <c r="C6" s="273"/>
      <c r="D6" s="261" t="s">
        <v>1</v>
      </c>
      <c r="E6" s="262"/>
      <c r="F6" s="88"/>
      <c r="G6" s="16"/>
      <c r="H6" s="16"/>
      <c r="I6" s="16"/>
      <c r="J6" s="16"/>
      <c r="K6" s="16"/>
      <c r="L6" s="16"/>
    </row>
    <row r="7" spans="2:12" s="14" customFormat="1" ht="34.5" customHeight="1">
      <c r="B7" s="274"/>
      <c r="C7" s="246"/>
      <c r="D7" s="51" t="s">
        <v>13</v>
      </c>
      <c r="E7" s="92" t="s">
        <v>14</v>
      </c>
      <c r="F7" s="89" t="s">
        <v>35</v>
      </c>
      <c r="G7" s="16"/>
      <c r="H7" s="16"/>
      <c r="I7" s="16"/>
      <c r="J7" s="16"/>
      <c r="K7" s="16"/>
      <c r="L7" s="16"/>
    </row>
    <row r="8" spans="2:12" s="14" customFormat="1" ht="19.5" customHeight="1">
      <c r="B8" s="263" t="s">
        <v>4</v>
      </c>
      <c r="C8" s="226"/>
      <c r="D8" s="226"/>
      <c r="E8" s="264"/>
      <c r="F8" s="78" t="s">
        <v>12</v>
      </c>
      <c r="G8" s="75"/>
      <c r="H8" s="75"/>
      <c r="I8" s="75"/>
      <c r="J8" s="75"/>
      <c r="K8" s="16"/>
      <c r="L8" s="16"/>
    </row>
    <row r="9" spans="2:9" s="18" customFormat="1" ht="15.75" customHeight="1">
      <c r="B9" s="93">
        <v>1</v>
      </c>
      <c r="C9" s="20" t="s">
        <v>15</v>
      </c>
      <c r="D9" s="9">
        <v>4000</v>
      </c>
      <c r="E9" s="94"/>
      <c r="F9" s="23" t="s">
        <v>2</v>
      </c>
      <c r="G9" s="23"/>
      <c r="H9" s="23"/>
      <c r="I9" s="23"/>
    </row>
    <row r="10" spans="2:9" s="18" customFormat="1" ht="15.75" customHeight="1">
      <c r="B10" s="95">
        <v>2</v>
      </c>
      <c r="C10" s="25" t="s">
        <v>16</v>
      </c>
      <c r="D10" s="10">
        <f>24*7*46</f>
        <v>7728</v>
      </c>
      <c r="E10" s="94"/>
      <c r="F10" s="23" t="s">
        <v>2</v>
      </c>
      <c r="G10" s="23"/>
      <c r="H10" s="23"/>
      <c r="I10" s="23"/>
    </row>
    <row r="11" spans="2:9" s="18" customFormat="1" ht="15.75" customHeight="1">
      <c r="B11" s="95">
        <v>3</v>
      </c>
      <c r="C11" s="25" t="s">
        <v>17</v>
      </c>
      <c r="D11" s="11">
        <v>0.5</v>
      </c>
      <c r="E11" s="96"/>
      <c r="F11" s="23" t="s">
        <v>2</v>
      </c>
      <c r="G11" s="23"/>
      <c r="H11" s="23"/>
      <c r="I11" s="23"/>
    </row>
    <row r="12" spans="2:9" ht="15.75" customHeight="1">
      <c r="B12" s="53">
        <v>4</v>
      </c>
      <c r="C12" s="29" t="s">
        <v>18</v>
      </c>
      <c r="D12" s="30">
        <f>D10*D11</f>
        <v>3864</v>
      </c>
      <c r="E12" s="97"/>
      <c r="F12" s="32" t="s">
        <v>91</v>
      </c>
      <c r="H12" s="32"/>
      <c r="I12" s="32"/>
    </row>
    <row r="13" spans="2:9" s="18" customFormat="1" ht="15.75" customHeight="1">
      <c r="B13" s="98">
        <v>5</v>
      </c>
      <c r="C13" s="34" t="s">
        <v>19</v>
      </c>
      <c r="D13" s="35">
        <f>D9/100*D10*D11</f>
        <v>154560</v>
      </c>
      <c r="E13" s="99"/>
      <c r="F13" s="22" t="s">
        <v>236</v>
      </c>
      <c r="G13" s="23"/>
      <c r="H13" s="23"/>
      <c r="I13" s="23"/>
    </row>
    <row r="14" spans="2:9" ht="19.5" customHeight="1">
      <c r="B14" s="263" t="s">
        <v>50</v>
      </c>
      <c r="C14" s="248"/>
      <c r="D14" s="248"/>
      <c r="E14" s="269"/>
      <c r="F14" s="32"/>
      <c r="G14" s="32"/>
      <c r="H14" s="32"/>
      <c r="I14" s="32"/>
    </row>
    <row r="15" spans="2:9" ht="15.75" customHeight="1">
      <c r="B15" s="95">
        <v>6</v>
      </c>
      <c r="C15" s="25" t="s">
        <v>41</v>
      </c>
      <c r="D15" s="10">
        <v>1600</v>
      </c>
      <c r="E15" s="200"/>
      <c r="F15" s="72" t="s">
        <v>46</v>
      </c>
      <c r="H15" s="32"/>
      <c r="I15" s="32"/>
    </row>
    <row r="16" spans="2:9" ht="15.75" customHeight="1">
      <c r="B16" s="95">
        <v>7</v>
      </c>
      <c r="C16" s="118" t="s">
        <v>93</v>
      </c>
      <c r="D16" s="69">
        <v>3</v>
      </c>
      <c r="E16" s="201"/>
      <c r="F16" s="72" t="s">
        <v>46</v>
      </c>
      <c r="G16" s="32"/>
      <c r="H16" s="32"/>
      <c r="I16" s="32"/>
    </row>
    <row r="17" spans="2:7" ht="15.75" customHeight="1">
      <c r="B17" s="53">
        <v>8</v>
      </c>
      <c r="C17" s="37" t="s">
        <v>20</v>
      </c>
      <c r="D17" s="8">
        <f>0.0258+3.7855*D16+0.60844*D16^2-0.06275*D16^3+0.00493*D16^4</f>
        <v>15.563340000000002</v>
      </c>
      <c r="E17" s="202"/>
      <c r="F17" s="32" t="s">
        <v>94</v>
      </c>
      <c r="G17" s="32"/>
    </row>
    <row r="18" spans="2:9" ht="15.75" customHeight="1">
      <c r="B18" s="95">
        <v>9</v>
      </c>
      <c r="C18" s="118" t="s">
        <v>49</v>
      </c>
      <c r="D18" s="69">
        <v>100</v>
      </c>
      <c r="E18" s="203"/>
      <c r="F18" s="14" t="s">
        <v>46</v>
      </c>
      <c r="G18" s="32"/>
      <c r="H18" s="32"/>
      <c r="I18" s="32"/>
    </row>
    <row r="19" spans="2:9" ht="15.75" customHeight="1">
      <c r="B19" s="53">
        <v>10</v>
      </c>
      <c r="C19" s="29" t="s">
        <v>98</v>
      </c>
      <c r="D19" s="121">
        <f>D45</f>
        <v>50.330998</v>
      </c>
      <c r="E19" s="204"/>
      <c r="F19" s="114" t="s">
        <v>111</v>
      </c>
      <c r="G19" s="32"/>
      <c r="H19" s="32"/>
      <c r="I19" s="32"/>
    </row>
    <row r="20" spans="2:9" ht="15.75" customHeight="1">
      <c r="B20" s="263" t="s">
        <v>143</v>
      </c>
      <c r="C20" s="275"/>
      <c r="D20" s="275"/>
      <c r="E20" s="269"/>
      <c r="G20" s="32"/>
      <c r="H20" s="32"/>
      <c r="I20" s="32"/>
    </row>
    <row r="21" spans="2:9" ht="15.75" customHeight="1">
      <c r="B21" s="205">
        <v>11</v>
      </c>
      <c r="C21" s="181" t="s">
        <v>148</v>
      </c>
      <c r="D21" s="195">
        <v>100</v>
      </c>
      <c r="E21" s="206"/>
      <c r="F21" s="14" t="s">
        <v>46</v>
      </c>
      <c r="G21" s="32"/>
      <c r="H21" s="32"/>
      <c r="I21" s="32"/>
    </row>
    <row r="22" spans="2:9" ht="15.75" customHeight="1">
      <c r="B22" s="207">
        <v>12</v>
      </c>
      <c r="C22" s="181" t="s">
        <v>149</v>
      </c>
      <c r="D22" s="195">
        <v>1200</v>
      </c>
      <c r="E22" s="208"/>
      <c r="F22" s="14" t="str">
        <f>IF(D22&gt;D15,"must be less than or equal to flue temp","Customer Input: Both cases to be set the same")</f>
        <v>Customer Input: Both cases to be set the same</v>
      </c>
      <c r="G22" s="32"/>
      <c r="H22" s="32"/>
      <c r="I22" s="32"/>
    </row>
    <row r="23" spans="2:9" ht="15.75" customHeight="1">
      <c r="B23" s="209">
        <v>13</v>
      </c>
      <c r="C23" s="25" t="s">
        <v>144</v>
      </c>
      <c r="D23" s="90">
        <v>3000</v>
      </c>
      <c r="E23" s="210">
        <v>1000</v>
      </c>
      <c r="F23" s="72" t="s">
        <v>95</v>
      </c>
      <c r="G23" s="32"/>
      <c r="H23" s="32"/>
      <c r="I23" s="32"/>
    </row>
    <row r="24" spans="2:9" ht="25.5">
      <c r="B24" s="209">
        <v>14</v>
      </c>
      <c r="C24" s="25" t="s">
        <v>113</v>
      </c>
      <c r="D24" s="90" t="s">
        <v>135</v>
      </c>
      <c r="E24" s="90" t="s">
        <v>124</v>
      </c>
      <c r="F24" s="72" t="s">
        <v>229</v>
      </c>
      <c r="G24" s="32"/>
      <c r="H24" s="32"/>
      <c r="I24" s="32"/>
    </row>
    <row r="25" spans="2:9" ht="25.5">
      <c r="B25" s="211">
        <v>15</v>
      </c>
      <c r="C25" s="37" t="s">
        <v>147</v>
      </c>
      <c r="D25" s="182">
        <f>VLOOKUP(D24,$C$50:$D$67,2)</f>
        <v>0.17125</v>
      </c>
      <c r="E25" s="182">
        <f>VLOOKUP(E24,$C$50:$D$67,2)</f>
        <v>0.23</v>
      </c>
      <c r="F25" s="114" t="str">
        <f>IF(OR(D24="Other",E24="Other"),"Enter specific Heat in Cell D57 to complete calculation","Calc.: Specific heat of selected material from look-up table")</f>
        <v>Calc.: Specific heat of selected material from look-up table</v>
      </c>
      <c r="G25" s="32"/>
      <c r="H25" s="32"/>
      <c r="I25" s="32"/>
    </row>
    <row r="26" spans="2:5" ht="19.5" customHeight="1">
      <c r="B26" s="259" t="s">
        <v>5</v>
      </c>
      <c r="C26" s="242"/>
      <c r="D26" s="242"/>
      <c r="E26" s="260"/>
    </row>
    <row r="27" spans="2:6" ht="15.75" customHeight="1">
      <c r="B27" s="53">
        <v>16</v>
      </c>
      <c r="C27" s="37" t="s">
        <v>21</v>
      </c>
      <c r="D27" s="53" t="s">
        <v>3</v>
      </c>
      <c r="E27" s="212">
        <f>(E29)/D13</f>
        <v>0.1550361667773804</v>
      </c>
      <c r="F27" s="27" t="s">
        <v>152</v>
      </c>
    </row>
    <row r="28" spans="2:8" s="14" customFormat="1" ht="15.75" customHeight="1">
      <c r="B28" s="53">
        <v>17</v>
      </c>
      <c r="C28" s="37" t="s">
        <v>22</v>
      </c>
      <c r="D28" s="53" t="s">
        <v>3</v>
      </c>
      <c r="E28" s="53">
        <f>D13-E29</f>
        <v>130597.61006288808</v>
      </c>
      <c r="F28" s="27" t="s">
        <v>153</v>
      </c>
      <c r="G28" s="38"/>
      <c r="H28" s="38"/>
    </row>
    <row r="29" spans="2:7" s="14" customFormat="1" ht="27" customHeight="1" thickBot="1">
      <c r="B29" s="102">
        <v>18</v>
      </c>
      <c r="C29" s="230" t="s">
        <v>222</v>
      </c>
      <c r="D29" s="231"/>
      <c r="E29" s="213">
        <f>D12*(D22-D21)*(D23*D25-E23*E25)/(D19/100)/100000</f>
        <v>23962.389937111915</v>
      </c>
      <c r="F29" s="32" t="str">
        <f>IF(E29&gt;=D13,"Savings cannot be greater than initial fuel use.","Calc.: See workpaper")</f>
        <v>Calc.: See workpaper</v>
      </c>
      <c r="G29" s="40"/>
    </row>
    <row r="30" spans="2:8" ht="18" customHeight="1">
      <c r="B30" s="263" t="s">
        <v>25</v>
      </c>
      <c r="C30" s="226"/>
      <c r="D30" s="226"/>
      <c r="E30" s="264"/>
      <c r="H30" s="38"/>
    </row>
    <row r="31" spans="2:6" ht="15.75" customHeight="1" thickBot="1">
      <c r="B31" s="93">
        <v>19</v>
      </c>
      <c r="C31" s="20" t="s">
        <v>27</v>
      </c>
      <c r="D31" s="49">
        <v>0.95</v>
      </c>
      <c r="E31" s="103"/>
      <c r="F31" s="32" t="s">
        <v>28</v>
      </c>
    </row>
    <row r="32" spans="2:6" ht="26.25" customHeight="1">
      <c r="B32" s="104">
        <v>20</v>
      </c>
      <c r="C32" s="265" t="s">
        <v>26</v>
      </c>
      <c r="D32" s="266"/>
      <c r="E32" s="105">
        <f>E29*D31</f>
        <v>22764.270440256318</v>
      </c>
      <c r="F32" s="32" t="s">
        <v>154</v>
      </c>
    </row>
    <row r="33" spans="2:8" ht="12.75" customHeight="1">
      <c r="B33" s="257" t="s">
        <v>23</v>
      </c>
      <c r="C33" s="258"/>
      <c r="D33" s="258"/>
      <c r="E33" s="258"/>
      <c r="G33" s="38"/>
      <c r="H33" s="38"/>
    </row>
    <row r="34" spans="2:8" ht="12.75" customHeight="1">
      <c r="B34" s="63"/>
      <c r="C34" s="64"/>
      <c r="D34" s="64"/>
      <c r="E34" s="64"/>
      <c r="G34" s="38"/>
      <c r="H34" s="38"/>
    </row>
    <row r="35" spans="2:7" ht="12.75" customHeight="1">
      <c r="B35" s="250" t="s">
        <v>274</v>
      </c>
      <c r="C35" s="270"/>
      <c r="D35" s="270"/>
      <c r="E35" s="270"/>
      <c r="G35" s="38"/>
    </row>
    <row r="36" spans="2:5" ht="72" customHeight="1">
      <c r="B36" s="221" t="s">
        <v>275</v>
      </c>
      <c r="C36" s="222"/>
      <c r="D36" s="222"/>
      <c r="E36" s="222"/>
    </row>
    <row r="37" spans="2:5" ht="12.75" customHeight="1">
      <c r="B37" s="216"/>
      <c r="C37" s="77"/>
      <c r="D37" s="77"/>
      <c r="E37" s="77"/>
    </row>
    <row r="38" spans="2:5" ht="12.75" customHeight="1">
      <c r="B38" s="216"/>
      <c r="C38" s="77"/>
      <c r="D38" s="77"/>
      <c r="E38" s="77"/>
    </row>
    <row r="39" ht="12.75">
      <c r="C39" s="27" t="s">
        <v>155</v>
      </c>
    </row>
    <row r="40" ht="13.5" hidden="1" thickBot="1">
      <c r="C40" s="42" t="s">
        <v>11</v>
      </c>
    </row>
    <row r="41" spans="3:5" ht="13.5" hidden="1" thickBot="1">
      <c r="C41" s="43" t="s">
        <v>10</v>
      </c>
      <c r="D41" s="57" t="s">
        <v>3</v>
      </c>
      <c r="E41" s="62"/>
    </row>
    <row r="42" spans="3:5" ht="12.75" hidden="1">
      <c r="C42" s="44" t="s">
        <v>6</v>
      </c>
      <c r="D42" s="58">
        <f>95-0.025*D15</f>
        <v>55</v>
      </c>
      <c r="E42" s="62"/>
    </row>
    <row r="43" spans="3:5" ht="12.75" hidden="1">
      <c r="C43" s="45" t="s">
        <v>7</v>
      </c>
      <c r="D43" s="59">
        <f>-(-2+0.02*D15)*(D17/100)</f>
        <v>-4.669002000000001</v>
      </c>
      <c r="E43" s="46"/>
    </row>
    <row r="44" spans="3:5" ht="12.75" hidden="1">
      <c r="C44" s="45" t="s">
        <v>8</v>
      </c>
      <c r="D44" s="60">
        <f>(-2+0.02*D18)*(1+D17/100)</f>
        <v>0</v>
      </c>
      <c r="E44" s="46"/>
    </row>
    <row r="45" spans="3:5" ht="13.5" hidden="1" thickBot="1">
      <c r="C45" s="47" t="s">
        <v>9</v>
      </c>
      <c r="D45" s="61">
        <f>SUM(D42:D44)</f>
        <v>50.330998</v>
      </c>
      <c r="E45" s="46"/>
    </row>
    <row r="47" ht="12.75">
      <c r="D47" s="127"/>
    </row>
    <row r="48" spans="3:5" ht="13.5" thickBot="1">
      <c r="C48" s="71" t="s">
        <v>156</v>
      </c>
      <c r="D48" s="127" t="s">
        <v>151</v>
      </c>
      <c r="E48" s="27" t="s">
        <v>150</v>
      </c>
    </row>
    <row r="49" spans="3:6" ht="26.25" thickBot="1">
      <c r="C49" s="183" t="s">
        <v>114</v>
      </c>
      <c r="D49" s="184" t="s">
        <v>115</v>
      </c>
      <c r="E49" s="184" t="s">
        <v>115</v>
      </c>
      <c r="F49" s="185" t="s">
        <v>116</v>
      </c>
    </row>
    <row r="50" spans="3:6" ht="12.75">
      <c r="C50" s="186" t="s">
        <v>120</v>
      </c>
      <c r="D50" s="126">
        <f>2.5*10^-4*AVERAGE($D$21,$D$22)+0.16</f>
        <v>0.3225</v>
      </c>
      <c r="E50" s="187" t="s">
        <v>121</v>
      </c>
      <c r="F50" s="188" t="s">
        <v>119</v>
      </c>
    </row>
    <row r="51" spans="3:6" ht="12.75">
      <c r="C51" s="189" t="s">
        <v>117</v>
      </c>
      <c r="D51" s="126">
        <f>1.8*10^-5*AVERAGE($D$21,$D$22)+0.1264</f>
        <v>0.1381</v>
      </c>
      <c r="E51" s="126" t="s">
        <v>118</v>
      </c>
      <c r="F51" s="190" t="s">
        <v>122</v>
      </c>
    </row>
    <row r="52" spans="3:6" ht="12.75">
      <c r="C52" s="189" t="s">
        <v>123</v>
      </c>
      <c r="D52" s="126">
        <v>0.117</v>
      </c>
      <c r="E52" s="126">
        <v>0.117</v>
      </c>
      <c r="F52" s="190"/>
    </row>
    <row r="53" spans="3:6" ht="12.75">
      <c r="C53" s="189" t="s">
        <v>124</v>
      </c>
      <c r="D53" s="126">
        <v>0.23</v>
      </c>
      <c r="E53" s="126">
        <v>0.23</v>
      </c>
      <c r="F53" s="190"/>
    </row>
    <row r="54" spans="3:6" ht="12.75">
      <c r="C54" s="189" t="s">
        <v>125</v>
      </c>
      <c r="D54" s="126">
        <v>0.1</v>
      </c>
      <c r="E54" s="126">
        <v>0.1</v>
      </c>
      <c r="F54" s="190"/>
    </row>
    <row r="55" spans="3:6" ht="12.75">
      <c r="C55" s="189" t="s">
        <v>126</v>
      </c>
      <c r="D55" s="126">
        <f>6.1*10^-5*AVERAGE($D$21:$D$22)+0.1263</f>
        <v>0.16595</v>
      </c>
      <c r="E55" s="126" t="s">
        <v>127</v>
      </c>
      <c r="F55" s="190" t="s">
        <v>128</v>
      </c>
    </row>
    <row r="56" spans="3:6" ht="12.75">
      <c r="C56" s="189" t="s">
        <v>129</v>
      </c>
      <c r="D56" s="126">
        <v>0.12</v>
      </c>
      <c r="E56" s="126">
        <v>0.12</v>
      </c>
      <c r="F56" s="190"/>
    </row>
    <row r="57" spans="3:6" ht="12.75">
      <c r="C57" s="189" t="s">
        <v>130</v>
      </c>
      <c r="D57" s="126">
        <v>0.27</v>
      </c>
      <c r="E57" s="126">
        <v>0.27</v>
      </c>
      <c r="F57" s="190"/>
    </row>
    <row r="58" spans="3:6" ht="12.75">
      <c r="C58" s="189" t="s">
        <v>146</v>
      </c>
      <c r="D58" s="126">
        <v>0.134</v>
      </c>
      <c r="E58" s="126">
        <v>0.134</v>
      </c>
      <c r="F58" s="190"/>
    </row>
    <row r="59" spans="3:6" ht="12.75">
      <c r="C59" s="196" t="s">
        <v>272</v>
      </c>
      <c r="D59" s="199"/>
      <c r="E59" s="197"/>
      <c r="F59" s="198" t="s">
        <v>273</v>
      </c>
    </row>
    <row r="60" spans="3:6" ht="12.75">
      <c r="C60" s="189" t="s">
        <v>131</v>
      </c>
      <c r="D60" s="126">
        <v>0.036</v>
      </c>
      <c r="E60" s="126">
        <v>0.036</v>
      </c>
      <c r="F60" s="190"/>
    </row>
    <row r="61" spans="3:6" ht="12.75">
      <c r="C61" s="189" t="s">
        <v>132</v>
      </c>
      <c r="D61" s="126">
        <v>0.23</v>
      </c>
      <c r="E61" s="126">
        <v>0.23</v>
      </c>
      <c r="F61" s="190"/>
    </row>
    <row r="62" spans="3:6" ht="12.75">
      <c r="C62" s="189" t="s">
        <v>133</v>
      </c>
      <c r="D62" s="126">
        <v>0.23</v>
      </c>
      <c r="E62" s="126">
        <v>0.23</v>
      </c>
      <c r="F62" s="190"/>
    </row>
    <row r="63" spans="3:6" ht="12.75">
      <c r="C63" s="189" t="s">
        <v>134</v>
      </c>
      <c r="D63" s="126">
        <v>0.176</v>
      </c>
      <c r="E63" s="126">
        <v>0.176</v>
      </c>
      <c r="F63" s="190"/>
    </row>
    <row r="64" spans="3:6" ht="12.75">
      <c r="C64" s="189" t="s">
        <v>135</v>
      </c>
      <c r="D64" s="126">
        <f>1.25*10^-4*AVERAGE($D$21:$D$22)+0.09</f>
        <v>0.17125</v>
      </c>
      <c r="E64" s="126" t="s">
        <v>136</v>
      </c>
      <c r="F64" s="190" t="s">
        <v>137</v>
      </c>
    </row>
    <row r="65" spans="3:6" ht="12.75">
      <c r="C65" s="189" t="s">
        <v>138</v>
      </c>
      <c r="D65" s="126">
        <v>0.2</v>
      </c>
      <c r="E65" s="126">
        <v>0.2</v>
      </c>
      <c r="F65" s="190"/>
    </row>
    <row r="66" spans="3:6" ht="12.75">
      <c r="C66" s="189" t="s">
        <v>139</v>
      </c>
      <c r="D66" s="126">
        <v>0.14</v>
      </c>
      <c r="E66" s="126">
        <v>0.14</v>
      </c>
      <c r="F66" s="190"/>
    </row>
    <row r="67" spans="3:6" ht="12.75">
      <c r="C67" s="189" t="s">
        <v>140</v>
      </c>
      <c r="D67" s="126">
        <v>0.034</v>
      </c>
      <c r="E67" s="126">
        <v>0.034</v>
      </c>
      <c r="F67" s="190"/>
    </row>
    <row r="68" spans="3:6" ht="12.75">
      <c r="C68" s="189" t="s">
        <v>141</v>
      </c>
      <c r="D68" s="126">
        <v>0.12</v>
      </c>
      <c r="E68" s="126">
        <v>0.12</v>
      </c>
      <c r="F68" s="190"/>
    </row>
    <row r="69" spans="3:6" ht="13.5" thickBot="1">
      <c r="C69" s="191"/>
      <c r="D69" s="192"/>
      <c r="E69" s="192"/>
      <c r="F69" s="193"/>
    </row>
    <row r="70" spans="3:5" ht="12.75">
      <c r="C70" s="194" t="s">
        <v>142</v>
      </c>
      <c r="D70" s="81"/>
      <c r="E70" s="81"/>
    </row>
    <row r="71" ht="12.75">
      <c r="C71" s="194" t="s">
        <v>230</v>
      </c>
    </row>
    <row r="72" spans="3:5" ht="12.75">
      <c r="C72" s="127"/>
      <c r="D72" s="127"/>
      <c r="E72" s="127"/>
    </row>
    <row r="73" spans="3:5" ht="12.75">
      <c r="C73" s="27"/>
      <c r="D73" s="81"/>
      <c r="E73" s="81"/>
    </row>
  </sheetData>
  <sheetProtection sheet="1" objects="1" scenarios="1"/>
  <protectedRanges>
    <protectedRange sqref="D31" name="Gas Rate"/>
    <protectedRange sqref="D9:D11" name="Equip Load"/>
  </protectedRanges>
  <mergeCells count="14">
    <mergeCell ref="B4:E4"/>
    <mergeCell ref="B5:E5"/>
    <mergeCell ref="B33:E33"/>
    <mergeCell ref="B26:E26"/>
    <mergeCell ref="D6:E6"/>
    <mergeCell ref="B6:C7"/>
    <mergeCell ref="B20:E20"/>
    <mergeCell ref="B30:E30"/>
    <mergeCell ref="C32:D32"/>
    <mergeCell ref="C29:D29"/>
    <mergeCell ref="B8:E8"/>
    <mergeCell ref="B14:E14"/>
    <mergeCell ref="B35:E35"/>
    <mergeCell ref="B36:E36"/>
  </mergeCells>
  <conditionalFormatting sqref="E29">
    <cfRule type="cellIs" priority="1" dxfId="1" operator="greaterThan" stopIfTrue="1">
      <formula>D13</formula>
    </cfRule>
  </conditionalFormatting>
  <conditionalFormatting sqref="F29">
    <cfRule type="expression" priority="2" dxfId="2" stopIfTrue="1">
      <formula>E29&gt;D13</formula>
    </cfRule>
  </conditionalFormatting>
  <conditionalFormatting sqref="E32">
    <cfRule type="expression" priority="3" dxfId="1" stopIfTrue="1">
      <formula>$E$29&gt;$D$13</formula>
    </cfRule>
  </conditionalFormatting>
  <conditionalFormatting sqref="D10">
    <cfRule type="cellIs" priority="4" dxfId="1" operator="notBetween" stopIfTrue="1">
      <formula>0</formula>
      <formula>8760</formula>
    </cfRule>
  </conditionalFormatting>
  <conditionalFormatting sqref="D11">
    <cfRule type="cellIs" priority="5" dxfId="1" operator="notBetween" stopIfTrue="1">
      <formula>0</formula>
      <formula>1</formula>
    </cfRule>
  </conditionalFormatting>
  <conditionalFormatting sqref="D15">
    <cfRule type="cellIs" priority="6" dxfId="1" operator="notBetween" stopIfTrue="1">
      <formula>200</formula>
      <formula>3000</formula>
    </cfRule>
  </conditionalFormatting>
  <conditionalFormatting sqref="D22">
    <cfRule type="cellIs" priority="7" dxfId="1" operator="greaterThan" stopIfTrue="1">
      <formula>$D$15</formula>
    </cfRule>
  </conditionalFormatting>
  <conditionalFormatting sqref="F22">
    <cfRule type="expression" priority="8" dxfId="2" stopIfTrue="1">
      <formula>$D$22&gt;$D$15</formula>
    </cfRule>
  </conditionalFormatting>
  <conditionalFormatting sqref="D25:E25">
    <cfRule type="cellIs" priority="9" dxfId="1" operator="equal" stopIfTrue="1">
      <formula>0</formula>
    </cfRule>
  </conditionalFormatting>
  <conditionalFormatting sqref="F25">
    <cfRule type="expression" priority="10" dxfId="2" stopIfTrue="1">
      <formula>OR(C24="Other",D24="Other")</formula>
    </cfRule>
  </conditionalFormatting>
  <dataValidations count="1">
    <dataValidation type="list" allowBlank="1" showInputMessage="1" showErrorMessage="1" prompt="Click arrow to right of cell and select appropriate fixture material." sqref="D24:E24">
      <formula1>$C$50:$C$67</formula1>
    </dataValidation>
  </dataValidations>
  <printOptions/>
  <pageMargins left="0.75" right="0.75" top="0.5" bottom="1" header="0.5" footer="0.5"/>
  <pageSetup fitToHeight="1" fitToWidth="1" horizontalDpi="600" verticalDpi="600" orientation="portrait" scale="90" r:id="rId4"/>
  <headerFooter alignWithMargins="0">
    <oddFooter>&amp;L&amp;F / &amp;A&amp;C&amp;P of &amp;N&amp;R&amp;D</oddFooter>
  </headerFooter>
  <drawing r:id="rId3"/>
  <legacyDrawing r:id="rId2"/>
</worksheet>
</file>

<file path=xl/worksheets/sheet7.xml><?xml version="1.0" encoding="utf-8"?>
<worksheet xmlns="http://schemas.openxmlformats.org/spreadsheetml/2006/main" xmlns:r="http://schemas.openxmlformats.org/officeDocument/2006/relationships">
  <dimension ref="B1:D22"/>
  <sheetViews>
    <sheetView showGridLines="0" workbookViewId="0" topLeftCell="A1">
      <selection activeCell="B2" sqref="B2"/>
    </sheetView>
  </sheetViews>
  <sheetFormatPr defaultColWidth="9.140625" defaultRowHeight="12.75"/>
  <cols>
    <col min="1" max="1" width="1.7109375" style="0" customWidth="1"/>
    <col min="2" max="2" width="100.7109375" style="0" customWidth="1"/>
  </cols>
  <sheetData>
    <row r="1" ht="12.75">
      <c r="B1" s="4"/>
    </row>
    <row r="2" spans="2:4" ht="30">
      <c r="B2" s="5" t="s">
        <v>166</v>
      </c>
      <c r="C2" s="1"/>
      <c r="D2" s="1"/>
    </row>
    <row r="3" spans="2:4" ht="45">
      <c r="B3" s="6" t="s">
        <v>167</v>
      </c>
      <c r="C3" s="2"/>
      <c r="D3" s="2"/>
    </row>
    <row r="4" spans="2:4" ht="30">
      <c r="B4" s="7" t="s">
        <v>30</v>
      </c>
      <c r="C4" s="2"/>
      <c r="D4" s="2"/>
    </row>
    <row r="5" spans="2:4" ht="15">
      <c r="B5" s="7" t="s">
        <v>31</v>
      </c>
      <c r="C5" s="2"/>
      <c r="D5" s="2"/>
    </row>
    <row r="6" spans="2:4" ht="15">
      <c r="B6" s="7" t="s">
        <v>32</v>
      </c>
      <c r="C6" s="2"/>
      <c r="D6" s="2"/>
    </row>
    <row r="7" ht="15">
      <c r="B7" s="7" t="s">
        <v>33</v>
      </c>
    </row>
    <row r="8" ht="15">
      <c r="B8" s="7" t="s">
        <v>34</v>
      </c>
    </row>
    <row r="9" ht="15">
      <c r="B9" s="6" t="s">
        <v>40</v>
      </c>
    </row>
    <row r="10" ht="45">
      <c r="B10" s="7" t="s">
        <v>158</v>
      </c>
    </row>
    <row r="11" ht="15">
      <c r="B11" s="7" t="s">
        <v>159</v>
      </c>
    </row>
    <row r="12" ht="28.5" customHeight="1">
      <c r="B12" s="7" t="s">
        <v>160</v>
      </c>
    </row>
    <row r="13" ht="15">
      <c r="B13" s="6" t="s">
        <v>5</v>
      </c>
    </row>
    <row r="14" ht="30">
      <c r="B14" s="7" t="s">
        <v>161</v>
      </c>
    </row>
    <row r="15" ht="15">
      <c r="B15" s="7" t="s">
        <v>162</v>
      </c>
    </row>
    <row r="16" ht="30">
      <c r="B16" s="7" t="s">
        <v>163</v>
      </c>
    </row>
    <row r="17" ht="15">
      <c r="B17" s="6" t="s">
        <v>29</v>
      </c>
    </row>
    <row r="18" ht="15">
      <c r="B18" s="7" t="s">
        <v>164</v>
      </c>
    </row>
    <row r="19" ht="15">
      <c r="B19" s="7" t="s">
        <v>165</v>
      </c>
    </row>
    <row r="21" ht="12.75">
      <c r="B21" s="217" t="s">
        <v>274</v>
      </c>
    </row>
    <row r="22" ht="45">
      <c r="B22" s="218" t="s">
        <v>275</v>
      </c>
    </row>
  </sheetData>
  <sheetProtection sheet="1" objects="1" scenarios="1"/>
  <printOptions/>
  <pageMargins left="0.75" right="0.75" top="1" bottom="1" header="0.5" footer="0.5"/>
  <pageSetup horizontalDpi="600" verticalDpi="600" orientation="portrait" r:id="rId1"/>
  <headerFooter alignWithMargins="0">
    <oddFooter>&amp;L&amp;F / &amp;A&amp;C&amp;P of &amp;N&amp;R&amp;D</oddFooter>
  </headerFooter>
</worksheet>
</file>

<file path=xl/worksheets/sheet8.xml><?xml version="1.0" encoding="utf-8"?>
<worksheet xmlns="http://schemas.openxmlformats.org/spreadsheetml/2006/main" xmlns:r="http://schemas.openxmlformats.org/officeDocument/2006/relationships">
  <dimension ref="B1:D29"/>
  <sheetViews>
    <sheetView showGridLines="0" workbookViewId="0" topLeftCell="A1">
      <selection activeCell="B2" sqref="B2"/>
    </sheetView>
  </sheetViews>
  <sheetFormatPr defaultColWidth="9.140625" defaultRowHeight="12.75"/>
  <cols>
    <col min="1" max="1" width="1.7109375" style="0" customWidth="1"/>
    <col min="2" max="2" width="100.7109375" style="0" customWidth="1"/>
  </cols>
  <sheetData>
    <row r="1" ht="12.75">
      <c r="B1" s="4"/>
    </row>
    <row r="2" spans="2:4" ht="30">
      <c r="B2" s="5" t="s">
        <v>99</v>
      </c>
      <c r="C2" s="1"/>
      <c r="D2" s="1"/>
    </row>
    <row r="3" spans="2:4" ht="45">
      <c r="B3" s="6" t="s">
        <v>167</v>
      </c>
      <c r="C3" s="3"/>
      <c r="D3" s="3"/>
    </row>
    <row r="4" spans="2:4" ht="30">
      <c r="B4" s="7" t="s">
        <v>30</v>
      </c>
      <c r="C4" s="3"/>
      <c r="D4" s="3"/>
    </row>
    <row r="5" spans="2:4" ht="15">
      <c r="B5" s="7" t="s">
        <v>31</v>
      </c>
      <c r="C5" s="3"/>
      <c r="D5" s="3"/>
    </row>
    <row r="6" spans="2:4" ht="15">
      <c r="B6" s="7" t="s">
        <v>32</v>
      </c>
      <c r="C6" s="3"/>
      <c r="D6" s="3"/>
    </row>
    <row r="7" spans="2:4" ht="15">
      <c r="B7" s="7" t="s">
        <v>33</v>
      </c>
      <c r="C7" s="3"/>
      <c r="D7" s="3"/>
    </row>
    <row r="8" spans="2:4" ht="15">
      <c r="B8" s="7" t="s">
        <v>34</v>
      </c>
      <c r="C8" s="3"/>
      <c r="D8" s="3"/>
    </row>
    <row r="9" spans="2:4" ht="15">
      <c r="B9" s="6" t="s">
        <v>168</v>
      </c>
      <c r="C9" s="2"/>
      <c r="D9" s="2"/>
    </row>
    <row r="10" spans="2:4" ht="30">
      <c r="B10" s="7" t="s">
        <v>169</v>
      </c>
      <c r="C10" s="2"/>
      <c r="D10" s="2"/>
    </row>
    <row r="11" spans="2:4" ht="15">
      <c r="B11" s="7" t="s">
        <v>36</v>
      </c>
      <c r="C11" s="2"/>
      <c r="D11" s="2"/>
    </row>
    <row r="12" spans="2:4" ht="30">
      <c r="B12" s="7" t="s">
        <v>38</v>
      </c>
      <c r="C12" s="2"/>
      <c r="D12" s="2"/>
    </row>
    <row r="13" ht="30">
      <c r="B13" s="7" t="s">
        <v>170</v>
      </c>
    </row>
    <row r="14" ht="45">
      <c r="B14" s="7" t="s">
        <v>269</v>
      </c>
    </row>
    <row r="15" ht="15">
      <c r="B15" s="6" t="s">
        <v>75</v>
      </c>
    </row>
    <row r="16" ht="30">
      <c r="B16" s="7" t="s">
        <v>171</v>
      </c>
    </row>
    <row r="17" ht="15">
      <c r="B17" s="7" t="s">
        <v>172</v>
      </c>
    </row>
    <row r="18" ht="15">
      <c r="B18" s="7" t="s">
        <v>173</v>
      </c>
    </row>
    <row r="19" ht="30">
      <c r="B19" s="7" t="s">
        <v>174</v>
      </c>
    </row>
    <row r="20" ht="15">
      <c r="B20" s="6" t="s">
        <v>5</v>
      </c>
    </row>
    <row r="21" ht="15">
      <c r="B21" s="7" t="s">
        <v>175</v>
      </c>
    </row>
    <row r="22" ht="15">
      <c r="B22" s="7" t="s">
        <v>176</v>
      </c>
    </row>
    <row r="23" ht="30">
      <c r="B23" s="7" t="s">
        <v>177</v>
      </c>
    </row>
    <row r="24" ht="15">
      <c r="B24" s="6" t="s">
        <v>29</v>
      </c>
    </row>
    <row r="25" ht="15">
      <c r="B25" s="7" t="s">
        <v>178</v>
      </c>
    </row>
    <row r="26" ht="15">
      <c r="B26" s="7" t="s">
        <v>179</v>
      </c>
    </row>
    <row r="28" ht="12.75">
      <c r="B28" s="217" t="s">
        <v>274</v>
      </c>
    </row>
    <row r="29" ht="45">
      <c r="B29" s="218" t="s">
        <v>275</v>
      </c>
    </row>
  </sheetData>
  <sheetProtection sheet="1" objects="1" scenarios="1"/>
  <printOptions/>
  <pageMargins left="0.75" right="0.75" top="1" bottom="1" header="0.5" footer="0.5"/>
  <pageSetup horizontalDpi="600" verticalDpi="600" orientation="portrait" r:id="rId1"/>
  <headerFooter alignWithMargins="0">
    <oddFooter>&amp;L&amp;F / &amp;A&amp;C&amp;P of &amp;N&amp;R&amp;D</oddFooter>
  </headerFooter>
</worksheet>
</file>

<file path=xl/worksheets/sheet9.xml><?xml version="1.0" encoding="utf-8"?>
<worksheet xmlns="http://schemas.openxmlformats.org/spreadsheetml/2006/main" xmlns:r="http://schemas.openxmlformats.org/officeDocument/2006/relationships">
  <dimension ref="B1:D28"/>
  <sheetViews>
    <sheetView showGridLines="0" workbookViewId="0" topLeftCell="A1">
      <selection activeCell="B2" sqref="B2"/>
    </sheetView>
  </sheetViews>
  <sheetFormatPr defaultColWidth="9.140625" defaultRowHeight="12.75"/>
  <cols>
    <col min="1" max="1" width="1.7109375" style="0" customWidth="1"/>
    <col min="2" max="2" width="100.7109375" style="0" customWidth="1"/>
  </cols>
  <sheetData>
    <row r="1" ht="12.75">
      <c r="B1" s="4"/>
    </row>
    <row r="2" spans="2:4" ht="30">
      <c r="B2" s="5" t="s">
        <v>221</v>
      </c>
      <c r="C2" s="1"/>
      <c r="D2" s="1"/>
    </row>
    <row r="3" spans="2:4" ht="45">
      <c r="B3" s="6" t="s">
        <v>167</v>
      </c>
      <c r="C3" s="2"/>
      <c r="D3" s="2"/>
    </row>
    <row r="4" spans="2:4" ht="30">
      <c r="B4" s="7" t="s">
        <v>30</v>
      </c>
      <c r="C4" s="2"/>
      <c r="D4" s="2"/>
    </row>
    <row r="5" spans="2:4" ht="15">
      <c r="B5" s="7" t="s">
        <v>31</v>
      </c>
      <c r="C5" s="2"/>
      <c r="D5" s="2"/>
    </row>
    <row r="6" spans="2:4" ht="15">
      <c r="B6" s="7" t="s">
        <v>32</v>
      </c>
      <c r="C6" s="2"/>
      <c r="D6" s="2"/>
    </row>
    <row r="7" ht="15">
      <c r="B7" s="7" t="s">
        <v>33</v>
      </c>
    </row>
    <row r="8" ht="15">
      <c r="B8" s="7" t="s">
        <v>34</v>
      </c>
    </row>
    <row r="9" ht="15">
      <c r="B9" s="6" t="s">
        <v>168</v>
      </c>
    </row>
    <row r="10" ht="30">
      <c r="B10" s="7" t="s">
        <v>169</v>
      </c>
    </row>
    <row r="11" ht="15">
      <c r="B11" s="7" t="s">
        <v>36</v>
      </c>
    </row>
    <row r="12" ht="30">
      <c r="B12" s="7" t="s">
        <v>181</v>
      </c>
    </row>
    <row r="13" ht="21.75" customHeight="1">
      <c r="B13" s="7" t="s">
        <v>189</v>
      </c>
    </row>
    <row r="14" ht="34.5" customHeight="1">
      <c r="B14" s="7" t="s">
        <v>182</v>
      </c>
    </row>
    <row r="15" ht="15">
      <c r="B15" s="6" t="s">
        <v>52</v>
      </c>
    </row>
    <row r="16" ht="18.75" customHeight="1">
      <c r="B16" s="7" t="s">
        <v>183</v>
      </c>
    </row>
    <row r="17" ht="30">
      <c r="B17" s="7" t="s">
        <v>184</v>
      </c>
    </row>
    <row r="18" ht="30">
      <c r="B18" s="7" t="s">
        <v>270</v>
      </c>
    </row>
    <row r="19" ht="15">
      <c r="B19" s="6" t="s">
        <v>5</v>
      </c>
    </row>
    <row r="20" ht="15">
      <c r="B20" s="7" t="s">
        <v>185</v>
      </c>
    </row>
    <row r="21" ht="15">
      <c r="B21" s="7" t="s">
        <v>186</v>
      </c>
    </row>
    <row r="22" ht="30">
      <c r="B22" s="7" t="s">
        <v>187</v>
      </c>
    </row>
    <row r="23" ht="15">
      <c r="B23" s="6" t="s">
        <v>29</v>
      </c>
    </row>
    <row r="24" ht="15">
      <c r="B24" s="7" t="s">
        <v>37</v>
      </c>
    </row>
    <row r="25" ht="15">
      <c r="B25" s="7" t="s">
        <v>188</v>
      </c>
    </row>
    <row r="27" ht="12.75">
      <c r="B27" s="217" t="s">
        <v>274</v>
      </c>
    </row>
    <row r="28" ht="45">
      <c r="B28" s="218" t="s">
        <v>275</v>
      </c>
    </row>
  </sheetData>
  <sheetProtection sheet="1" objects="1" scenarios="1"/>
  <printOptions/>
  <pageMargins left="0.75" right="0.75" top="1" bottom="1" header="0.5" footer="0.5"/>
  <pageSetup horizontalDpi="600" verticalDpi="600" orientation="portrait" r:id="rId1"/>
  <headerFooter alignWithMargins="0">
    <oddFooter>&amp;L&amp;F / &amp;A&amp;C&amp;P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2006-04-06T21:21:44Z</cp:lastPrinted>
  <dcterms:created xsi:type="dcterms:W3CDTF">2006-03-10T19:44:00Z</dcterms:created>
  <dcterms:modified xsi:type="dcterms:W3CDTF">2006-04-07T19:27:48Z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