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4560" windowWidth="15180" windowHeight="4716" activeTab="0"/>
  </bookViews>
  <sheets>
    <sheet name="Thermal Oxidizer" sheetId="1" r:id="rId1"/>
    <sheet name="Instructions" sheetId="2" r:id="rId2"/>
    <sheet name="Case A" sheetId="3" r:id="rId3"/>
    <sheet name="Case B" sheetId="4" r:id="rId4"/>
    <sheet name="Case C" sheetId="5" r:id="rId5"/>
    <sheet name="Case D" sheetId="6" r:id="rId6"/>
  </sheets>
  <definedNames>
    <definedName name="CaseA">'Thermal Oxidizer'!$J$41</definedName>
    <definedName name="CaseB">'Thermal Oxidizer'!$J$42</definedName>
    <definedName name="CaseC">'Thermal Oxidizer'!$J$43</definedName>
    <definedName name="CaseD">'Thermal Oxidizer'!$J$44</definedName>
    <definedName name="htexch">'Thermal Oxidizer'!$I$12:$I$13</definedName>
    <definedName name="List">'Thermal Oxidizer'!#REF!</definedName>
    <definedName name="_xlnm.Print_Area" localSheetId="0">'Thermal Oxidizer'!$B$1:$G$107</definedName>
    <definedName name="VOC_List">'Thermal Oxidizer'!$I$16:$I$18</definedName>
    <definedName name="Yes_No">'Thermal Oxidizer'!$I$14:$I$15</definedName>
  </definedNames>
  <calcPr fullCalcOnLoad="1" iterate="1" iterateCount="100" iterateDelta="0.001"/>
</workbook>
</file>

<file path=xl/comments1.xml><?xml version="1.0" encoding="utf-8"?>
<comments xmlns="http://schemas.openxmlformats.org/spreadsheetml/2006/main">
  <authors>
    <author>Rod Hite</author>
    <author> </author>
  </authors>
  <commentList>
    <comment ref="B37" authorId="0">
      <text>
        <r>
          <rPr>
            <b/>
            <sz val="8"/>
            <rFont val="Tahoma"/>
            <family val="0"/>
          </rPr>
          <t>Rod Hite:</t>
        </r>
        <r>
          <rPr>
            <sz val="8"/>
            <rFont val="Tahoma"/>
            <family val="0"/>
          </rPr>
          <t xml:space="preserve">
This number is set to a default of 10%.  If the user knows what the number really is and it's not 10% then change it here.</t>
        </r>
      </text>
    </comment>
    <comment ref="E4" authorId="1">
      <text>
        <r>
          <rPr>
            <sz val="8"/>
            <rFont val="Tahoma"/>
            <family val="2"/>
          </rPr>
          <t>User input cells have blue font</t>
        </r>
      </text>
    </comment>
  </commentList>
</comments>
</file>

<file path=xl/comments3.xml><?xml version="1.0" encoding="utf-8"?>
<comments xmlns="http://schemas.openxmlformats.org/spreadsheetml/2006/main">
  <authors>
    <author>Sempra</author>
  </authors>
  <commentList>
    <comment ref="C3" authorId="0">
      <text>
        <r>
          <rPr>
            <b/>
            <sz val="8"/>
            <rFont val="Tahoma"/>
            <family val="0"/>
          </rPr>
          <t>Sempra:</t>
        </r>
        <r>
          <rPr>
            <sz val="8"/>
            <rFont val="Tahoma"/>
            <family val="0"/>
          </rPr>
          <t xml:space="preserve">
If customer has a meter on their oxidizer, make sure that the meter reading accounts for Btu factor and pressure factor</t>
        </r>
      </text>
    </comment>
    <comment ref="C25" authorId="0">
      <text>
        <r>
          <rPr>
            <b/>
            <sz val="8"/>
            <rFont val="Tahoma"/>
            <family val="0"/>
          </rPr>
          <t>Sempra:</t>
        </r>
        <r>
          <rPr>
            <sz val="8"/>
            <rFont val="Tahoma"/>
            <family val="0"/>
          </rPr>
          <t xml:space="preserve">
Heat exchanger efficiency from equipment information sheet.  Customer should have this information</t>
        </r>
      </text>
    </comment>
    <comment ref="C24" authorId="0">
      <text>
        <r>
          <rPr>
            <b/>
            <sz val="8"/>
            <rFont val="Tahoma"/>
            <family val="0"/>
          </rPr>
          <t>Sempra:</t>
        </r>
        <r>
          <rPr>
            <sz val="8"/>
            <rFont val="Tahoma"/>
            <family val="0"/>
          </rPr>
          <t xml:space="preserve">
hot gas temperature after it leaves heat exchanger</t>
        </r>
      </text>
    </comment>
    <comment ref="C23" authorId="0">
      <text>
        <r>
          <rPr>
            <b/>
            <sz val="8"/>
            <rFont val="Tahoma"/>
            <family val="0"/>
          </rPr>
          <t>Sempra:</t>
        </r>
        <r>
          <rPr>
            <sz val="8"/>
            <rFont val="Tahoma"/>
            <family val="0"/>
          </rPr>
          <t xml:space="preserve">
temperature required to oxidize VOC's in waste stream from process</t>
        </r>
      </text>
    </comment>
    <comment ref="C29" authorId="0">
      <text>
        <r>
          <rPr>
            <b/>
            <sz val="8"/>
            <rFont val="Tahoma"/>
            <family val="0"/>
          </rPr>
          <t>Sempra:</t>
        </r>
        <r>
          <rPr>
            <sz val="8"/>
            <rFont val="Tahoma"/>
            <family val="0"/>
          </rPr>
          <t xml:space="preserve">
If customer has a meter on their oxidizer, make sure that the meter reading accounts for Btu factor and pressure factor</t>
        </r>
      </text>
    </comment>
    <comment ref="C49" authorId="0">
      <text>
        <r>
          <rPr>
            <b/>
            <sz val="8"/>
            <rFont val="Tahoma"/>
            <family val="0"/>
          </rPr>
          <t>Sempra:</t>
        </r>
        <r>
          <rPr>
            <sz val="8"/>
            <rFont val="Tahoma"/>
            <family val="0"/>
          </rPr>
          <t xml:space="preserve">
temperature required to oxidize VOC's in waste stream from process</t>
        </r>
      </text>
    </comment>
    <comment ref="C50" authorId="0">
      <text>
        <r>
          <rPr>
            <b/>
            <sz val="8"/>
            <rFont val="Tahoma"/>
            <family val="0"/>
          </rPr>
          <t>Sempra:</t>
        </r>
        <r>
          <rPr>
            <sz val="8"/>
            <rFont val="Tahoma"/>
            <family val="0"/>
          </rPr>
          <t xml:space="preserve">
hot gas temperature after it leaves heat exchanger</t>
        </r>
      </text>
    </comment>
    <comment ref="C51" authorId="0">
      <text>
        <r>
          <rPr>
            <b/>
            <sz val="8"/>
            <rFont val="Tahoma"/>
            <family val="0"/>
          </rPr>
          <t>Sempra:</t>
        </r>
        <r>
          <rPr>
            <sz val="8"/>
            <rFont val="Tahoma"/>
            <family val="0"/>
          </rPr>
          <t xml:space="preserve">
Heat exchanger efficiency from equipment information sheet.  Customer should have this information</t>
        </r>
      </text>
    </comment>
  </commentList>
</comments>
</file>

<file path=xl/comments4.xml><?xml version="1.0" encoding="utf-8"?>
<comments xmlns="http://schemas.openxmlformats.org/spreadsheetml/2006/main">
  <authors>
    <author>Sempra</author>
  </authors>
  <commentList>
    <comment ref="C3" authorId="0">
      <text>
        <r>
          <rPr>
            <b/>
            <sz val="8"/>
            <rFont val="Tahoma"/>
            <family val="0"/>
          </rPr>
          <t>Sempra:</t>
        </r>
        <r>
          <rPr>
            <sz val="8"/>
            <rFont val="Tahoma"/>
            <family val="0"/>
          </rPr>
          <t xml:space="preserve">
If customer has a meter on their oxidizer, make sure that the meter reading accounts for Btu factor and pressure factor</t>
        </r>
      </text>
    </comment>
    <comment ref="C23" authorId="0">
      <text>
        <r>
          <rPr>
            <b/>
            <sz val="8"/>
            <rFont val="Tahoma"/>
            <family val="0"/>
          </rPr>
          <t>Sempra:</t>
        </r>
        <r>
          <rPr>
            <sz val="8"/>
            <rFont val="Tahoma"/>
            <family val="0"/>
          </rPr>
          <t xml:space="preserve">
temperature required to oxidize VOC's in waste stream from process</t>
        </r>
      </text>
    </comment>
    <comment ref="C29" authorId="0">
      <text>
        <r>
          <rPr>
            <b/>
            <sz val="8"/>
            <rFont val="Tahoma"/>
            <family val="0"/>
          </rPr>
          <t>Sempra:</t>
        </r>
        <r>
          <rPr>
            <sz val="8"/>
            <rFont val="Tahoma"/>
            <family val="0"/>
          </rPr>
          <t xml:space="preserve">
If customer has a meter on their oxidizer, make sure that the meter reading accounts for Btu factor and pressure factor</t>
        </r>
      </text>
    </comment>
    <comment ref="C49" authorId="0">
      <text>
        <r>
          <rPr>
            <b/>
            <sz val="8"/>
            <rFont val="Tahoma"/>
            <family val="0"/>
          </rPr>
          <t>Sempra:</t>
        </r>
        <r>
          <rPr>
            <sz val="8"/>
            <rFont val="Tahoma"/>
            <family val="0"/>
          </rPr>
          <t xml:space="preserve">
temperature required to oxidize VOC's in waste stream from process</t>
        </r>
      </text>
    </comment>
    <comment ref="C51" authorId="0">
      <text>
        <r>
          <rPr>
            <b/>
            <sz val="8"/>
            <rFont val="Tahoma"/>
            <family val="0"/>
          </rPr>
          <t>Sempra:</t>
        </r>
        <r>
          <rPr>
            <sz val="8"/>
            <rFont val="Tahoma"/>
            <family val="0"/>
          </rPr>
          <t xml:space="preserve">
Heat exchanger efficiency from equipment information sheet.  Customer should have this information</t>
        </r>
      </text>
    </comment>
    <comment ref="C24" authorId="0">
      <text>
        <r>
          <rPr>
            <b/>
            <sz val="8"/>
            <rFont val="Tahoma"/>
            <family val="0"/>
          </rPr>
          <t>Sempra:</t>
        </r>
        <r>
          <rPr>
            <sz val="8"/>
            <rFont val="Tahoma"/>
            <family val="0"/>
          </rPr>
          <t xml:space="preserve">
hot gas temperature after it leaves heat exchanger</t>
        </r>
      </text>
    </comment>
    <comment ref="C25" authorId="0">
      <text>
        <r>
          <rPr>
            <b/>
            <sz val="8"/>
            <rFont val="Tahoma"/>
            <family val="0"/>
          </rPr>
          <t>Sempra:</t>
        </r>
        <r>
          <rPr>
            <sz val="8"/>
            <rFont val="Tahoma"/>
            <family val="0"/>
          </rPr>
          <t xml:space="preserve">
Heat exchanger efficiency from equipment information sheet.  Customer should have this information</t>
        </r>
      </text>
    </comment>
    <comment ref="C50" authorId="0">
      <text>
        <r>
          <rPr>
            <b/>
            <sz val="8"/>
            <rFont val="Tahoma"/>
            <family val="0"/>
          </rPr>
          <t>Sempra:</t>
        </r>
        <r>
          <rPr>
            <sz val="8"/>
            <rFont val="Tahoma"/>
            <family val="0"/>
          </rPr>
          <t xml:space="preserve">
hot gas temperature after it leaves heat exchanger</t>
        </r>
      </text>
    </comment>
    <comment ref="D24" authorId="0">
      <text>
        <r>
          <rPr>
            <b/>
            <sz val="8"/>
            <rFont val="Tahoma"/>
            <family val="0"/>
          </rPr>
          <t>Sempra:</t>
        </r>
        <r>
          <rPr>
            <sz val="8"/>
            <rFont val="Tahoma"/>
            <family val="0"/>
          </rPr>
          <t xml:space="preserve">
hot gas temperature after it leaves heat exchanger</t>
        </r>
      </text>
    </comment>
    <comment ref="E24" authorId="0">
      <text>
        <r>
          <rPr>
            <b/>
            <sz val="8"/>
            <rFont val="Tahoma"/>
            <family val="0"/>
          </rPr>
          <t>Sempra:</t>
        </r>
        <r>
          <rPr>
            <sz val="8"/>
            <rFont val="Tahoma"/>
            <family val="0"/>
          </rPr>
          <t xml:space="preserve">
hot gas temperature after it leaves heat exchanger</t>
        </r>
      </text>
    </comment>
    <comment ref="F24" authorId="0">
      <text>
        <r>
          <rPr>
            <b/>
            <sz val="8"/>
            <rFont val="Tahoma"/>
            <family val="0"/>
          </rPr>
          <t>Sempra:</t>
        </r>
        <r>
          <rPr>
            <sz val="8"/>
            <rFont val="Tahoma"/>
            <family val="0"/>
          </rPr>
          <t xml:space="preserve">
hot gas temperature after it leaves heat exchanger</t>
        </r>
      </text>
    </comment>
    <comment ref="G24" authorId="0">
      <text>
        <r>
          <rPr>
            <b/>
            <sz val="8"/>
            <rFont val="Tahoma"/>
            <family val="0"/>
          </rPr>
          <t>Sempra:</t>
        </r>
        <r>
          <rPr>
            <sz val="8"/>
            <rFont val="Tahoma"/>
            <family val="0"/>
          </rPr>
          <t xml:space="preserve">
hot gas temperature after it leaves heat exchanger</t>
        </r>
      </text>
    </comment>
    <comment ref="D25" authorId="0">
      <text>
        <r>
          <rPr>
            <b/>
            <sz val="8"/>
            <rFont val="Tahoma"/>
            <family val="0"/>
          </rPr>
          <t>Sempra:</t>
        </r>
        <r>
          <rPr>
            <sz val="8"/>
            <rFont val="Tahoma"/>
            <family val="0"/>
          </rPr>
          <t xml:space="preserve">
Heat exchanger efficiency from equipment information sheet.  Customer should have this information</t>
        </r>
      </text>
    </comment>
    <comment ref="E25" authorId="0">
      <text>
        <r>
          <rPr>
            <b/>
            <sz val="8"/>
            <rFont val="Tahoma"/>
            <family val="0"/>
          </rPr>
          <t>Sempra:</t>
        </r>
        <r>
          <rPr>
            <sz val="8"/>
            <rFont val="Tahoma"/>
            <family val="0"/>
          </rPr>
          <t xml:space="preserve">
Heat exchanger efficiency from equipment information sheet.  Customer should have this information</t>
        </r>
      </text>
    </comment>
    <comment ref="F25" authorId="0">
      <text>
        <r>
          <rPr>
            <b/>
            <sz val="8"/>
            <rFont val="Tahoma"/>
            <family val="0"/>
          </rPr>
          <t>Sempra:</t>
        </r>
        <r>
          <rPr>
            <sz val="8"/>
            <rFont val="Tahoma"/>
            <family val="0"/>
          </rPr>
          <t xml:space="preserve">
Heat exchanger efficiency from equipment information sheet.  Customer should have this information</t>
        </r>
      </text>
    </comment>
    <comment ref="G25" authorId="0">
      <text>
        <r>
          <rPr>
            <b/>
            <sz val="8"/>
            <rFont val="Tahoma"/>
            <family val="0"/>
          </rPr>
          <t>Sempra:</t>
        </r>
        <r>
          <rPr>
            <sz val="8"/>
            <rFont val="Tahoma"/>
            <family val="0"/>
          </rPr>
          <t xml:space="preserve">
Heat exchanger efficiency from equipment information sheet.  Customer should have this information</t>
        </r>
      </text>
    </comment>
    <comment ref="D51" authorId="0">
      <text>
        <r>
          <rPr>
            <b/>
            <sz val="8"/>
            <rFont val="Tahoma"/>
            <family val="0"/>
          </rPr>
          <t>Sempra:</t>
        </r>
        <r>
          <rPr>
            <sz val="8"/>
            <rFont val="Tahoma"/>
            <family val="0"/>
          </rPr>
          <t xml:space="preserve">
Heat exchanger efficiency from equipment information sheet.  Customer should have this information</t>
        </r>
      </text>
    </comment>
    <comment ref="E51" authorId="0">
      <text>
        <r>
          <rPr>
            <b/>
            <sz val="8"/>
            <rFont val="Tahoma"/>
            <family val="0"/>
          </rPr>
          <t>Sempra:</t>
        </r>
        <r>
          <rPr>
            <sz val="8"/>
            <rFont val="Tahoma"/>
            <family val="0"/>
          </rPr>
          <t xml:space="preserve">
Heat exchanger efficiency from equipment information sheet.  Customer should have this information</t>
        </r>
      </text>
    </comment>
    <comment ref="F51" authorId="0">
      <text>
        <r>
          <rPr>
            <b/>
            <sz val="8"/>
            <rFont val="Tahoma"/>
            <family val="0"/>
          </rPr>
          <t>Sempra:</t>
        </r>
        <r>
          <rPr>
            <sz val="8"/>
            <rFont val="Tahoma"/>
            <family val="0"/>
          </rPr>
          <t xml:space="preserve">
Heat exchanger efficiency from equipment information sheet.  Customer should have this information</t>
        </r>
      </text>
    </comment>
    <comment ref="G51" authorId="0">
      <text>
        <r>
          <rPr>
            <b/>
            <sz val="8"/>
            <rFont val="Tahoma"/>
            <family val="0"/>
          </rPr>
          <t>Sempra:</t>
        </r>
        <r>
          <rPr>
            <sz val="8"/>
            <rFont val="Tahoma"/>
            <family val="0"/>
          </rPr>
          <t xml:space="preserve">
Heat exchanger efficiency from equipment information sheet.  Customer should have this information</t>
        </r>
      </text>
    </comment>
  </commentList>
</comments>
</file>

<file path=xl/comments5.xml><?xml version="1.0" encoding="utf-8"?>
<comments xmlns="http://schemas.openxmlformats.org/spreadsheetml/2006/main">
  <authors>
    <author>Sempra</author>
  </authors>
  <commentList>
    <comment ref="C3" authorId="0">
      <text>
        <r>
          <rPr>
            <b/>
            <sz val="8"/>
            <rFont val="Tahoma"/>
            <family val="0"/>
          </rPr>
          <t>Sempra:</t>
        </r>
        <r>
          <rPr>
            <sz val="8"/>
            <rFont val="Tahoma"/>
            <family val="0"/>
          </rPr>
          <t xml:space="preserve">
If customer has a meter on their oxidizer, make sure that the meter reading accounts for Btu factor and pressure factor</t>
        </r>
      </text>
    </comment>
    <comment ref="C23" authorId="0">
      <text>
        <r>
          <rPr>
            <b/>
            <sz val="8"/>
            <rFont val="Tahoma"/>
            <family val="0"/>
          </rPr>
          <t>Sempra:</t>
        </r>
        <r>
          <rPr>
            <sz val="8"/>
            <rFont val="Tahoma"/>
            <family val="0"/>
          </rPr>
          <t xml:space="preserve">
temperature required to oxidize VOC's in waste stream from process</t>
        </r>
      </text>
    </comment>
    <comment ref="C24" authorId="0">
      <text>
        <r>
          <rPr>
            <b/>
            <sz val="8"/>
            <rFont val="Tahoma"/>
            <family val="0"/>
          </rPr>
          <t>Sempra:</t>
        </r>
        <r>
          <rPr>
            <sz val="8"/>
            <rFont val="Tahoma"/>
            <family val="0"/>
          </rPr>
          <t xml:space="preserve">
hot gas temperature after it leaves heat exchanger</t>
        </r>
      </text>
    </comment>
    <comment ref="C25" authorId="0">
      <text>
        <r>
          <rPr>
            <b/>
            <sz val="8"/>
            <rFont val="Tahoma"/>
            <family val="0"/>
          </rPr>
          <t>Sempra:</t>
        </r>
        <r>
          <rPr>
            <sz val="8"/>
            <rFont val="Tahoma"/>
            <family val="0"/>
          </rPr>
          <t xml:space="preserve">
Heat exchanger efficiency from equipment information sheet.  Customer should have this information</t>
        </r>
      </text>
    </comment>
    <comment ref="C29" authorId="0">
      <text>
        <r>
          <rPr>
            <b/>
            <sz val="8"/>
            <rFont val="Tahoma"/>
            <family val="0"/>
          </rPr>
          <t>Sempra:</t>
        </r>
        <r>
          <rPr>
            <sz val="8"/>
            <rFont val="Tahoma"/>
            <family val="0"/>
          </rPr>
          <t xml:space="preserve">
If customer has a meter on their oxidizer, make sure that the meter reading accounts for Btu factor and pressure factor</t>
        </r>
      </text>
    </comment>
    <comment ref="C49" authorId="0">
      <text>
        <r>
          <rPr>
            <b/>
            <sz val="8"/>
            <rFont val="Tahoma"/>
            <family val="0"/>
          </rPr>
          <t>Sempra:</t>
        </r>
        <r>
          <rPr>
            <sz val="8"/>
            <rFont val="Tahoma"/>
            <family val="0"/>
          </rPr>
          <t xml:space="preserve">
temperature required to oxidize VOC's in waste stream from process</t>
        </r>
      </text>
    </comment>
    <comment ref="C50" authorId="0">
      <text>
        <r>
          <rPr>
            <b/>
            <sz val="8"/>
            <rFont val="Tahoma"/>
            <family val="0"/>
          </rPr>
          <t>Sempra:</t>
        </r>
        <r>
          <rPr>
            <sz val="8"/>
            <rFont val="Tahoma"/>
            <family val="0"/>
          </rPr>
          <t xml:space="preserve">
hot gas temperature after it leaves heat exchanger</t>
        </r>
      </text>
    </comment>
    <comment ref="C51" authorId="0">
      <text>
        <r>
          <rPr>
            <b/>
            <sz val="8"/>
            <rFont val="Tahoma"/>
            <family val="0"/>
          </rPr>
          <t>Sempra:</t>
        </r>
        <r>
          <rPr>
            <sz val="8"/>
            <rFont val="Tahoma"/>
            <family val="0"/>
          </rPr>
          <t xml:space="preserve">
Heat exchanger efficiency from equipment information sheet.  Customer should have this information</t>
        </r>
      </text>
    </comment>
    <comment ref="D50" authorId="0">
      <text>
        <r>
          <rPr>
            <b/>
            <sz val="8"/>
            <rFont val="Tahoma"/>
            <family val="0"/>
          </rPr>
          <t>Sempra:</t>
        </r>
        <r>
          <rPr>
            <sz val="8"/>
            <rFont val="Tahoma"/>
            <family val="0"/>
          </rPr>
          <t xml:space="preserve">
hot gas temperature after it leaves heat exchanger</t>
        </r>
      </text>
    </comment>
    <comment ref="E50" authorId="0">
      <text>
        <r>
          <rPr>
            <b/>
            <sz val="8"/>
            <rFont val="Tahoma"/>
            <family val="0"/>
          </rPr>
          <t>Sempra:</t>
        </r>
        <r>
          <rPr>
            <sz val="8"/>
            <rFont val="Tahoma"/>
            <family val="0"/>
          </rPr>
          <t xml:space="preserve">
hot gas temperature after it leaves heat exchanger</t>
        </r>
      </text>
    </comment>
    <comment ref="F50" authorId="0">
      <text>
        <r>
          <rPr>
            <b/>
            <sz val="8"/>
            <rFont val="Tahoma"/>
            <family val="0"/>
          </rPr>
          <t>Sempra:</t>
        </r>
        <r>
          <rPr>
            <sz val="8"/>
            <rFont val="Tahoma"/>
            <family val="0"/>
          </rPr>
          <t xml:space="preserve">
hot gas temperature after it leaves heat exchanger</t>
        </r>
      </text>
    </comment>
    <comment ref="G50" authorId="0">
      <text>
        <r>
          <rPr>
            <b/>
            <sz val="8"/>
            <rFont val="Tahoma"/>
            <family val="0"/>
          </rPr>
          <t>Sempra:</t>
        </r>
        <r>
          <rPr>
            <sz val="8"/>
            <rFont val="Tahoma"/>
            <family val="0"/>
          </rPr>
          <t xml:space="preserve">
hot gas temperature after it leaves heat exchanger</t>
        </r>
      </text>
    </comment>
    <comment ref="D51" authorId="0">
      <text>
        <r>
          <rPr>
            <b/>
            <sz val="8"/>
            <rFont val="Tahoma"/>
            <family val="0"/>
          </rPr>
          <t>Sempra:</t>
        </r>
        <r>
          <rPr>
            <sz val="8"/>
            <rFont val="Tahoma"/>
            <family val="0"/>
          </rPr>
          <t xml:space="preserve">
Heat exchanger efficiency from equipment information sheet.  Customer should have this information</t>
        </r>
      </text>
    </comment>
    <comment ref="E51" authorId="0">
      <text>
        <r>
          <rPr>
            <b/>
            <sz val="8"/>
            <rFont val="Tahoma"/>
            <family val="0"/>
          </rPr>
          <t>Sempra:</t>
        </r>
        <r>
          <rPr>
            <sz val="8"/>
            <rFont val="Tahoma"/>
            <family val="0"/>
          </rPr>
          <t xml:space="preserve">
Heat exchanger efficiency from equipment information sheet.  Customer should have this information</t>
        </r>
      </text>
    </comment>
    <comment ref="F51" authorId="0">
      <text>
        <r>
          <rPr>
            <b/>
            <sz val="8"/>
            <rFont val="Tahoma"/>
            <family val="0"/>
          </rPr>
          <t>Sempra:</t>
        </r>
        <r>
          <rPr>
            <sz val="8"/>
            <rFont val="Tahoma"/>
            <family val="0"/>
          </rPr>
          <t xml:space="preserve">
Heat exchanger efficiency from equipment information sheet.  Customer should have this information</t>
        </r>
      </text>
    </comment>
    <comment ref="G51" authorId="0">
      <text>
        <r>
          <rPr>
            <b/>
            <sz val="8"/>
            <rFont val="Tahoma"/>
            <family val="0"/>
          </rPr>
          <t>Sempra:</t>
        </r>
        <r>
          <rPr>
            <sz val="8"/>
            <rFont val="Tahoma"/>
            <family val="0"/>
          </rPr>
          <t xml:space="preserve">
Heat exchanger efficiency from equipment information sheet.  Customer should have this information</t>
        </r>
      </text>
    </comment>
  </commentList>
</comments>
</file>

<file path=xl/comments6.xml><?xml version="1.0" encoding="utf-8"?>
<comments xmlns="http://schemas.openxmlformats.org/spreadsheetml/2006/main">
  <authors>
    <author>Sempra</author>
  </authors>
  <commentList>
    <comment ref="C3" authorId="0">
      <text>
        <r>
          <rPr>
            <b/>
            <sz val="8"/>
            <rFont val="Tahoma"/>
            <family val="0"/>
          </rPr>
          <t>Sempra:</t>
        </r>
        <r>
          <rPr>
            <sz val="8"/>
            <rFont val="Tahoma"/>
            <family val="0"/>
          </rPr>
          <t xml:space="preserve">
If customer has a meter on their oxidizer, make sure that the meter reading accounts for Btu factor and pressure factor</t>
        </r>
      </text>
    </comment>
    <comment ref="C23" authorId="0">
      <text>
        <r>
          <rPr>
            <b/>
            <sz val="8"/>
            <rFont val="Tahoma"/>
            <family val="0"/>
          </rPr>
          <t>Sempra:</t>
        </r>
        <r>
          <rPr>
            <sz val="8"/>
            <rFont val="Tahoma"/>
            <family val="0"/>
          </rPr>
          <t xml:space="preserve">
temperature required to oxidize VOC's in waste stream from process</t>
        </r>
      </text>
    </comment>
    <comment ref="C24" authorId="0">
      <text>
        <r>
          <rPr>
            <b/>
            <sz val="8"/>
            <rFont val="Tahoma"/>
            <family val="0"/>
          </rPr>
          <t>Sempra:</t>
        </r>
        <r>
          <rPr>
            <sz val="8"/>
            <rFont val="Tahoma"/>
            <family val="0"/>
          </rPr>
          <t xml:space="preserve">
hot gas temperature after it leaves heat exchanger</t>
        </r>
      </text>
    </comment>
    <comment ref="C25" authorId="0">
      <text>
        <r>
          <rPr>
            <b/>
            <sz val="8"/>
            <rFont val="Tahoma"/>
            <family val="0"/>
          </rPr>
          <t>Sempra:</t>
        </r>
        <r>
          <rPr>
            <sz val="8"/>
            <rFont val="Tahoma"/>
            <family val="0"/>
          </rPr>
          <t xml:space="preserve">
Heat exchanger efficiency from equipment information sheet.  Customer should have this information</t>
        </r>
      </text>
    </comment>
    <comment ref="C29" authorId="0">
      <text>
        <r>
          <rPr>
            <b/>
            <sz val="8"/>
            <rFont val="Tahoma"/>
            <family val="0"/>
          </rPr>
          <t>Sempra:</t>
        </r>
        <r>
          <rPr>
            <sz val="8"/>
            <rFont val="Tahoma"/>
            <family val="0"/>
          </rPr>
          <t xml:space="preserve">
If customer has a meter on their oxidizer, make sure that the meter reading accounts for Btu factor and pressure factor</t>
        </r>
      </text>
    </comment>
    <comment ref="C49" authorId="0">
      <text>
        <r>
          <rPr>
            <b/>
            <sz val="8"/>
            <rFont val="Tahoma"/>
            <family val="0"/>
          </rPr>
          <t>Sempra:</t>
        </r>
        <r>
          <rPr>
            <sz val="8"/>
            <rFont val="Tahoma"/>
            <family val="0"/>
          </rPr>
          <t xml:space="preserve">
temperature required to oxidize VOC's in waste stream from process</t>
        </r>
      </text>
    </comment>
    <comment ref="C50" authorId="0">
      <text>
        <r>
          <rPr>
            <b/>
            <sz val="8"/>
            <rFont val="Tahoma"/>
            <family val="0"/>
          </rPr>
          <t>Sempra:</t>
        </r>
        <r>
          <rPr>
            <sz val="8"/>
            <rFont val="Tahoma"/>
            <family val="0"/>
          </rPr>
          <t xml:space="preserve">
hot gas temperature after it leaves heat exchanger</t>
        </r>
      </text>
    </comment>
    <comment ref="C51" authorId="0">
      <text>
        <r>
          <rPr>
            <b/>
            <sz val="8"/>
            <rFont val="Tahoma"/>
            <family val="0"/>
          </rPr>
          <t>Sempra:</t>
        </r>
        <r>
          <rPr>
            <sz val="8"/>
            <rFont val="Tahoma"/>
            <family val="0"/>
          </rPr>
          <t xml:space="preserve">
Heat exchanger efficiency from equipment information sheet.  Customer should have this information</t>
        </r>
      </text>
    </comment>
  </commentList>
</comments>
</file>

<file path=xl/sharedStrings.xml><?xml version="1.0" encoding="utf-8"?>
<sst xmlns="http://schemas.openxmlformats.org/spreadsheetml/2006/main" count="590" uniqueCount="214">
  <si>
    <t>Recuperative TO energy use:</t>
  </si>
  <si>
    <r>
      <t>T</t>
    </r>
    <r>
      <rPr>
        <vertAlign val="subscript"/>
        <sz val="10"/>
        <rFont val="Arial"/>
        <family val="2"/>
      </rPr>
      <t>stream</t>
    </r>
    <r>
      <rPr>
        <b/>
        <vertAlign val="subscript"/>
        <sz val="10"/>
        <rFont val="Arial"/>
        <family val="2"/>
      </rPr>
      <t xml:space="preserve"> inlet</t>
    </r>
  </si>
  <si>
    <t>Flow Mass (M)</t>
  </si>
  <si>
    <t xml:space="preserve">Stream energy </t>
  </si>
  <si>
    <t>Btu/lb</t>
  </si>
  <si>
    <r>
      <t xml:space="preserve">T </t>
    </r>
    <r>
      <rPr>
        <vertAlign val="subscript"/>
        <sz val="10"/>
        <rFont val="Arial"/>
        <family val="2"/>
      </rPr>
      <t>Hx outlet</t>
    </r>
  </si>
  <si>
    <r>
      <t xml:space="preserve">Hx </t>
    </r>
    <r>
      <rPr>
        <vertAlign val="subscript"/>
        <sz val="10"/>
        <rFont val="Arial"/>
        <family val="2"/>
      </rPr>
      <t>eff</t>
    </r>
  </si>
  <si>
    <r>
      <t>C</t>
    </r>
    <r>
      <rPr>
        <vertAlign val="subscript"/>
        <sz val="10"/>
        <rFont val="Arial"/>
        <family val="2"/>
      </rPr>
      <t>p POC</t>
    </r>
  </si>
  <si>
    <r>
      <t xml:space="preserve">T </t>
    </r>
    <r>
      <rPr>
        <vertAlign val="subscript"/>
        <sz val="10"/>
        <rFont val="Arial"/>
        <family val="2"/>
      </rPr>
      <t>St Hx outlet</t>
    </r>
  </si>
  <si>
    <r>
      <t xml:space="preserve">T </t>
    </r>
    <r>
      <rPr>
        <vertAlign val="subscript"/>
        <sz val="10"/>
        <rFont val="Arial"/>
        <family val="2"/>
      </rPr>
      <t>destr</t>
    </r>
  </si>
  <si>
    <r>
      <t xml:space="preserve">T </t>
    </r>
    <r>
      <rPr>
        <vertAlign val="subscript"/>
        <sz val="10"/>
        <rFont val="Arial"/>
        <family val="2"/>
      </rPr>
      <t>stream fuel</t>
    </r>
  </si>
  <si>
    <t>Additional firing</t>
  </si>
  <si>
    <t>Therms/hr</t>
  </si>
  <si>
    <t>% time at scfm</t>
  </si>
  <si>
    <t>Annual therm usage</t>
  </si>
  <si>
    <t>Hours/yr run time @</t>
  </si>
  <si>
    <t>CFM</t>
  </si>
  <si>
    <t xml:space="preserve"> </t>
  </si>
  <si>
    <r>
      <t>C</t>
    </r>
    <r>
      <rPr>
        <vertAlign val="subscript"/>
        <sz val="10"/>
        <rFont val="Arial"/>
        <family val="2"/>
      </rPr>
      <t xml:space="preserve">p </t>
    </r>
    <r>
      <rPr>
        <sz val="10"/>
        <rFont val="Arial"/>
        <family val="2"/>
      </rPr>
      <t>Air</t>
    </r>
  </si>
  <si>
    <t xml:space="preserve">  </t>
  </si>
  <si>
    <t>Annual Lbs air</t>
  </si>
  <si>
    <t>Annual therm use</t>
  </si>
  <si>
    <t>annual lbs POC</t>
  </si>
  <si>
    <t>Total exhaust</t>
  </si>
  <si>
    <t>Energy transferred</t>
  </si>
  <si>
    <t>Temp stream</t>
  </si>
  <si>
    <t>Annual therm use:</t>
  </si>
  <si>
    <r>
      <t xml:space="preserve">Avail Heat @ T </t>
    </r>
    <r>
      <rPr>
        <vertAlign val="subscript"/>
        <sz val="10"/>
        <rFont val="Arial"/>
        <family val="2"/>
      </rPr>
      <t>Hx outlet</t>
    </r>
  </si>
  <si>
    <t>Btu's/yr</t>
  </si>
  <si>
    <t>lbs/yr</t>
  </si>
  <si>
    <t>lbs stream/hr</t>
  </si>
  <si>
    <r>
      <t>o</t>
    </r>
    <r>
      <rPr>
        <b/>
        <sz val="10"/>
        <rFont val="Arial"/>
        <family val="2"/>
      </rPr>
      <t>F</t>
    </r>
  </si>
  <si>
    <r>
      <t xml:space="preserve">Btu/lb - </t>
    </r>
    <r>
      <rPr>
        <b/>
        <vertAlign val="superscript"/>
        <sz val="10"/>
        <rFont val="Arial"/>
        <family val="2"/>
      </rPr>
      <t>o</t>
    </r>
    <r>
      <rPr>
        <b/>
        <sz val="10"/>
        <rFont val="Arial"/>
        <family val="2"/>
      </rPr>
      <t>F</t>
    </r>
  </si>
  <si>
    <t>No load condition</t>
  </si>
  <si>
    <t>F</t>
  </si>
  <si>
    <t>Volatile Organic Chemicals Characteristics</t>
  </si>
  <si>
    <t>Approach for Heat Recovery (select one)</t>
  </si>
  <si>
    <t>Base Case</t>
  </si>
  <si>
    <t>Efficiency</t>
  </si>
  <si>
    <t>Thermal Oxidizer Characteristics:</t>
  </si>
  <si>
    <t>Case A:  Energy Savings from Adding a Recuperator to a Thermal Oxidizer Without Any Heat Recovery</t>
  </si>
  <si>
    <t>Case B:  Energy Savings from Adding a More Efficient Recuperator to a Thermal Oxidizer That Already Has One</t>
  </si>
  <si>
    <t>Case C:  Energy Savings from Adding a Regenerator to a Thermal Oxidizer Without Any Heat Recovery</t>
  </si>
  <si>
    <t>Case D:  Energy Savings from Adding a Regenerator to a Thermal Oxidizer that Already has Heat Recovery (Recuperator or Regenerator)</t>
  </si>
  <si>
    <t>Add a Recuperator</t>
  </si>
  <si>
    <r>
      <t>Disclaimer</t>
    </r>
    <r>
      <rPr>
        <sz val="8"/>
        <rFont val="Arial"/>
        <family val="0"/>
      </rPr>
      <t xml:space="preserve">
The Gas Company has made reasonable efforts to ensure all information is correct; however, neither The Gas Company's publication nor verbal representations thereof constitutes any statement, recommendation, endorsement, approval or guaranty (either express or implied) of any product or service.  Moreover, The Gas Company shall not be responsible for errors or omissions in this publication, for claims or damages relating to the use thereof, even if it has been advised of the possibility of such damages. </t>
    </r>
  </si>
  <si>
    <t>Selecting the appropriate button hides the inputs and results for the other approaches</t>
  </si>
  <si>
    <t>Some of the user inputs are common to all measures.</t>
  </si>
  <si>
    <t>Inputs (cells with blue font)</t>
  </si>
  <si>
    <t>Intermediate Results</t>
  </si>
  <si>
    <t>Select Desired Heat Recovery Approach</t>
  </si>
  <si>
    <r>
      <t>Case B:  Add a More Efficient Recuperator to a Thermal Oxidizer that Already Has One</t>
    </r>
    <r>
      <rPr>
        <sz val="10"/>
        <rFont val="Arial"/>
        <family val="0"/>
      </rPr>
      <t xml:space="preserve"> – This measure replaces a less efficient heat exchanger with a more efficient heat exchanger.</t>
    </r>
  </si>
  <si>
    <t>10.    VOC destruction temperature (degrees F)</t>
  </si>
  <si>
    <t>"RESET"  If the tool is not operating properly, try pushing the "RESET" button.  This will re-initialize some key internal values and may solve the problem.</t>
  </si>
  <si>
    <t>Thermal Oxidizer Characteristics</t>
  </si>
  <si>
    <t>Results</t>
  </si>
  <si>
    <t>No</t>
  </si>
  <si>
    <t>Yes</t>
  </si>
  <si>
    <t>ACFM</t>
  </si>
  <si>
    <t>Recuperator Efficiency Limits:</t>
  </si>
  <si>
    <t>Max</t>
  </si>
  <si>
    <t>Min</t>
  </si>
  <si>
    <t>Regenerator Efficiency Limits:</t>
  </si>
  <si>
    <t>Hours per Year</t>
  </si>
  <si>
    <t>Volatile Organic Compounds Characteristics</t>
  </si>
  <si>
    <t>There are three questions asked with pulldown menus indicating acceptable choices.</t>
  </si>
  <si>
    <t>Exhaust Temperature</t>
  </si>
  <si>
    <t>Btus/lb</t>
  </si>
  <si>
    <t>Thermal Oxidizer Temperature Limit:</t>
  </si>
  <si>
    <t>Thermal Oxidizer Heat Recovery</t>
  </si>
  <si>
    <t>Gas Savings Calculation</t>
  </si>
  <si>
    <t>Account and Gas Equipment Information (from Load Balance Tool)</t>
  </si>
  <si>
    <t>1.  Customer</t>
  </si>
  <si>
    <t>2.  Billing account ID</t>
  </si>
  <si>
    <t>3.  Gas equipment description</t>
  </si>
  <si>
    <t>4.  Equipment type</t>
  </si>
  <si>
    <t>5.  Equipment use</t>
  </si>
  <si>
    <t>Notes</t>
  </si>
  <si>
    <t>Copy information from Report tab of Load Balance Tool</t>
  </si>
  <si>
    <t>Equipment Load and Annual Use Calculation</t>
  </si>
  <si>
    <t>6.  Annual gas use (therms/yr)</t>
  </si>
  <si>
    <t>Btu/lb of oven exhaust</t>
  </si>
  <si>
    <t>Btu/ACF of oven exhaust</t>
  </si>
  <si>
    <t>7.  VOC energy data is specified by:</t>
  </si>
  <si>
    <t>Enter chemical name</t>
  </si>
  <si>
    <t>9.   Percent of VOC sent to thermal oxidizer</t>
  </si>
  <si>
    <t>10.  VOC destruction temperature (F)</t>
  </si>
  <si>
    <t>11.  VOC stream inlet temperature (F)</t>
  </si>
  <si>
    <t>Baseline</t>
  </si>
  <si>
    <t>New Measure</t>
  </si>
  <si>
    <t>Flow Rate (ACFM)</t>
  </si>
  <si>
    <t>Calculation methodology provided by The Gas Company</t>
  </si>
  <si>
    <t>Approval</t>
  </si>
  <si>
    <t>The gas savings data presented in this report are believed to be an accurate estimate of the future gas savings expected for this equipment.</t>
  </si>
  <si>
    <t>CUSTOMER</t>
  </si>
  <si>
    <t>SCG C&amp;I SERVICES MANAGER</t>
  </si>
  <si>
    <t>_______________________________</t>
  </si>
  <si>
    <t>Signature</t>
  </si>
  <si>
    <t>Name (printed)</t>
  </si>
  <si>
    <t>Date</t>
  </si>
  <si>
    <t>Flow rate 1</t>
  </si>
  <si>
    <t>Flow rate 2</t>
  </si>
  <si>
    <t>Flow rate 3</t>
  </si>
  <si>
    <t>Flow rate 4</t>
  </si>
  <si>
    <t>Standby Flowrate</t>
  </si>
  <si>
    <t>Case B:  Energy Savings from Replacing a Recuperator with a More Efficient Recuperator</t>
  </si>
  <si>
    <t>Case D:  Energy Savings from Replacing a Recuperator or Regenerator with a Regenerator</t>
  </si>
  <si>
    <t>Cost Savings from Adding a Recuperator to a Thermal Oxidizer Without Any Heat Recovery</t>
  </si>
  <si>
    <t>24.  Gas rate ($/therm)</t>
  </si>
  <si>
    <t>15.  Is combustion air for the thermal oxidizer's natural gas burner provided externally by a separate combustion blower?</t>
  </si>
  <si>
    <t>21.  Operating time (hr/yr)</t>
  </si>
  <si>
    <t>23.  Annual gas savings (therms/yr)</t>
  </si>
  <si>
    <t>25.  Annual cost savings ($/yr)</t>
  </si>
  <si>
    <t>Type, annual quantity, and heating value</t>
  </si>
  <si>
    <t>20.  Theoretical annual gas consumption (therms/yr)</t>
  </si>
  <si>
    <t>18.  Standby flow rate (ACFM)</t>
  </si>
  <si>
    <t>26.  Standby flow rate (ACFM)</t>
  </si>
  <si>
    <t>Cost Savings from Replacing a Recuperator with a More Efficient Recuperator</t>
  </si>
  <si>
    <t>31.  Annual gas savings (therms/yr)</t>
  </si>
  <si>
    <t>32.  Gas rate ($/therm)</t>
  </si>
  <si>
    <t>33.  Annual cost savings ($/yr)</t>
  </si>
  <si>
    <t>34.  Standby flow rate (ACFM)</t>
  </si>
  <si>
    <t>30.  Gas savings (%)</t>
  </si>
  <si>
    <t>29.  Operating time (hr/yr)</t>
  </si>
  <si>
    <t>22.  Gas savings (%)</t>
  </si>
  <si>
    <t>36.  Theoretical annual gas consumption (therms/yr)</t>
  </si>
  <si>
    <t>28.  Theoretical annual gas consumption (therms/yr)</t>
  </si>
  <si>
    <t>37.  Operating time (hr/yr)</t>
  </si>
  <si>
    <t>38.  Gas savings (%)</t>
  </si>
  <si>
    <t>39.  Annual gas savings (therms/yr)</t>
  </si>
  <si>
    <t>40.  Gas rate ($/therm)</t>
  </si>
  <si>
    <t>41.  Annual cost savings ($/yr)</t>
  </si>
  <si>
    <t>42.  Standby flow rate (ACFM)</t>
  </si>
  <si>
    <t>44.  Theoretical annual gas consumption (therms/yr)</t>
  </si>
  <si>
    <t>45.  Operating time (hr/yr)</t>
  </si>
  <si>
    <t>46.  Gas savings (%)</t>
  </si>
  <si>
    <t>Cost Savings from Replacing a Recuperator or Regenerator with a Regenerator</t>
  </si>
  <si>
    <t>47.  Annual gas savings (therms/yr)</t>
  </si>
  <si>
    <t>48.  Gas rate ($/therm)</t>
  </si>
  <si>
    <t>49.  Annual cost savings ($/yr)</t>
  </si>
  <si>
    <t>Cost Savings from Adding a Regenerator to a Thermal Oxidizer Without Any Heat Recovery</t>
  </si>
  <si>
    <t>Enter data from Report tab of Load Balance Tool</t>
  </si>
  <si>
    <t>Select from drop-down menu</t>
  </si>
  <si>
    <t>Press reset if instructed</t>
  </si>
  <si>
    <t>Enter temperature data</t>
  </si>
  <si>
    <t>Calculated</t>
  </si>
  <si>
    <t>12.  VOC energy (MMBtu/yr)</t>
  </si>
  <si>
    <t>13.  VOC energy in oven exhaust</t>
  </si>
  <si>
    <t>14.  VOC/Air Flow Rate Schedule</t>
  </si>
  <si>
    <t>Enter flow rate schedule</t>
  </si>
  <si>
    <t>Standby time is calculated</t>
  </si>
  <si>
    <t>Leave unused cells blank</t>
  </si>
  <si>
    <t>Select from drop-down menus</t>
  </si>
  <si>
    <t>Enter excess air % if Yes</t>
  </si>
  <si>
    <t>Select Case</t>
  </si>
  <si>
    <t>Thermal oxidizer temp</t>
  </si>
  <si>
    <t>Enter gas rate</t>
  </si>
  <si>
    <t>RESET</t>
  </si>
  <si>
    <t>Instructions for Heat Recovery for a</t>
  </si>
  <si>
    <t>Thermal Oxidizer</t>
  </si>
  <si>
    <t>1.    Customer</t>
  </si>
  <si>
    <t>2.    Billing account ID</t>
  </si>
  <si>
    <t>3.    Gas equipment description</t>
  </si>
  <si>
    <t>4.    Equipment type</t>
  </si>
  <si>
    <t>5.    Equipment use</t>
  </si>
  <si>
    <t>9.     Percent of VOC use that is sent to thermal oxidizer.  If anything other than "Type, annual quantity, and heating value" is chosen, this number is ignored.</t>
  </si>
  <si>
    <t>14.   VOC Flow Rate Schedule</t>
  </si>
  <si>
    <t>21.    This is the calculated hours of operation per year.  If this number is substantially different from the customer's experience, there may be an error in earlier inputs such as VOC stream characteristics or scheduling.  The number will appear red and there will be an error message if the number exceeds 8760 hours.</t>
  </si>
  <si>
    <t xml:space="preserve">23.    The is the annual natural gas savings in therms per year.  This number is calculated using the percentage at line 22 and the gas consumption used at line 6. </t>
  </si>
  <si>
    <t>25.    This is the dollar savings based on the natural gas price per therm indicated on Line 24.</t>
  </si>
  <si>
    <t>28.    This is the annual natural gas consumption for the case with the old recuperator and the case with the new recuperator assuming 8760 hours per year operation.</t>
  </si>
  <si>
    <t>33.    This is the dollar savings based on the natural gas price per therm indicated on Line 32.</t>
  </si>
  <si>
    <t>41.    This is the dollar savings based on the natural gas price per therm indicated on Line 40.</t>
  </si>
  <si>
    <t xml:space="preserve">31.    The is the annual natural gas savings in therms per year.  This number is calculated using the percentage at line 30 and the gas consumption used at line 6. </t>
  </si>
  <si>
    <t>16.  Excess air for thermal oxidizer's natural gas burner (%) from combustion blower.</t>
  </si>
  <si>
    <t>6.    The annual natural gas consumption of the thermal oxidizer.  The development and origin of this value must be documented.</t>
  </si>
  <si>
    <t xml:space="preserve">7.     VOC energy data is specified by:  This step requires the user to select one of three choices: 
a. Type, annual quantity, and heating value – of the VOCs or organic compounds used by the plant– if this option is chosen, the user must first press RESET and go to step 8.  RESET may be pressed at any time to reinitialize key internal values if there appears to be a calculation problem with the tool.  Selecting this choice will require inputs for Steps 8-9.
b. Btu/lb of Oven Exhaust – skip Steps 8 and 9 and move onto Step 10.
c. Btu/acf of Oven Exhaust – skip Steps 8 and 9 and move onto Step 10. (Note: specify acf as actual cubic feet).  
</t>
  </si>
  <si>
    <t>8.   Chemical Name, Flow (Lb/hr) and Energy Content (Btu/lb) – The first five lines allow the input of data for the volatile organic compounds (VOCs) that the customer incinerates in their thermal oxidizer.  The information indicated should be available from the customer.  Up to five may be added.</t>
  </si>
  <si>
    <t>17.  Is heat exchanger specified by efficiency or exhaust temperature?</t>
  </si>
  <si>
    <t>11.    VOC stream inlet temperature (degrees F):  This would be around the exhaust          temperature of the oven or other emission stream source just prior to entering the incinerator subsystem.  Adjustment by the account executive may be necessary if the temperature is actually measured a substantial distance away from the thermal oxidizer.</t>
  </si>
  <si>
    <t xml:space="preserve">12.   Intermediate Result – VOC Energy (MMBtu/yr).  This is total energy content of VOCs of the exhaust stream leaving the oven and entering the thermal oxidizer.  </t>
  </si>
  <si>
    <t>13.   VOC Energy in either Btus per pound of oven exhaust (Btu/lb) or actual cubic foot of exhaust (ACF).  If "Type, annual quantity, and heating value" is chosen above, this is a calculated value.  Otherwise it is an input variable.</t>
  </si>
  <si>
    <t xml:space="preserve">15.    Is combustion air for the thermal oxidizer's natural gas burner provided externally with a combustion blower or from the oven exhaust stream?  The choices are Yes or No for the before and after case.  </t>
  </si>
  <si>
    <t xml:space="preserve">17.    The heat exchanger (recuperator or regenerator) can be specified either by its "Efficiency" or the "Exhaust Temperature" of the exhaust stream as it emerges from the heat exchanger.  Below you will specify these values for each of the cases.  It is here where you tell the tool how you are making the specification.   Error messages are provided below if you should enter values for these parameters that seem out of range for commonly used values for the specified heat exchanger.  </t>
  </si>
  <si>
    <r>
      <t xml:space="preserve">• </t>
    </r>
    <r>
      <rPr>
        <b/>
        <sz val="10"/>
        <rFont val="Arial"/>
        <family val="2"/>
      </rPr>
      <t>Case A:  Add a Recuperator to a Thermal Oxidizer Without Any Heat Recovery.</t>
    </r>
    <r>
      <rPr>
        <sz val="10"/>
        <rFont val="Arial"/>
        <family val="2"/>
      </rPr>
      <t xml:space="preserve"> – This measure adds a recuperator to a fume incinerator that does not already have a heat recovery unit. </t>
    </r>
  </si>
  <si>
    <r>
      <t>Case C:  Add a Regenerator to a Thermal Oxidizer Without Any Heat Recovery</t>
    </r>
    <r>
      <rPr>
        <sz val="10"/>
        <rFont val="Arial"/>
        <family val="0"/>
      </rPr>
      <t xml:space="preserve"> – This measure adds a regenerator to a fume incinerator that doesn't already have a heat recovery unit.</t>
    </r>
  </si>
  <si>
    <r>
      <t xml:space="preserve">Case D:  Add a More Efficient Regenerator to a Thermal Oxidizer Already Has Heat Recovery (Recuperator or Regeneraor) – </t>
    </r>
    <r>
      <rPr>
        <sz val="10"/>
        <rFont val="Arial"/>
        <family val="2"/>
      </rPr>
      <t>Add a More Efficient Regenerator to a Thermal Oxidizer Already Has Heat Recovery (Recuperator or Regenerator) – This measure replaces a less efficient heat exchanger (recuperator or regenerator) with a more efficient regenerator.</t>
    </r>
  </si>
  <si>
    <t>18.     Standby flow rate (acfm):  These values for baseline and new are retrieved from the “Common Data Inputs” at the VOC/Air Flow Rate Schedule (Line 14.) for utility.</t>
  </si>
  <si>
    <t xml:space="preserve">19.    Depending on the type of heat exchanger specification indicated above, enter either the heat exchanger efficiency (%) or the heat exchanger exhaust temperature (F).  If the heat exchanger efficiency is selected, the suggested values are 40-60%.  Entering a value outside this range will result in an error message.  If heat exchanger exhaust  temperature is chosen, a value greater than 100 and less than the VOC destruction temperature (Line 10) must be entered.  </t>
  </si>
  <si>
    <t>20.    These results are the annual natural gas consumptions for the base case and the case with the recuperator assuming 8760 hours per year operation.</t>
  </si>
  <si>
    <t>22.    This is the annual natural gas savings calculated as a percentage of current energy use.</t>
  </si>
  <si>
    <t>24.     Price of Gas in terms of $/therm.</t>
  </si>
  <si>
    <t>34.     Standby flow rate (acfm):  These values for baseline and new are retrieved from the “Common Data Inputs” at the VOC/Air Flow Rate Schedule (Line 14.) for utility.</t>
  </si>
  <si>
    <t xml:space="preserve">35.    Depending on the type of heat exchanger specification indicated above, enter either the heat exchanger efficiency (%) or the heat exchanger exhaust temperature (F).  If the heat exchanger efficiency is selected, the suggested values are 60-95%.  Entering a value outside this range will result in an error message.  If heat exchanger exhaust temperature is chosen, a value greater than 100 and less than the VOC destruction temperature (Line 10) must be entered.  </t>
  </si>
  <si>
    <t xml:space="preserve">36.    These results are the annual natural gas consumptions for the base case and the case with the recuperator assuming 8,760 hours per year operation. </t>
  </si>
  <si>
    <t xml:space="preserve">37.    This is the calculated hours of operation per year.  If this number is substantially different from the customer's experience, there may be an error in earlier inputs such as VOC stream characteristics or scheduling.  The number will appear red and there will be an error message if the number exceeds 8760 hours. </t>
  </si>
  <si>
    <t xml:space="preserve">38.   This is the annual natural gas savings calculated as a percentage of current energy use. </t>
  </si>
  <si>
    <t xml:space="preserve">39.    This is the annual natural gas savings in therms per year.  This number is calculated using the percentage at line 38 and the gas consumption used at line 6.  </t>
  </si>
  <si>
    <t>40.     Price of Gas in terms of $/therm.</t>
  </si>
  <si>
    <t>42.     Standby flow rate (acfm):  These values for baseline and new are retrieved from the “Common Data Inputs” at the VOC/Air Flow Rate Schedule (Line 14.) for utility.</t>
  </si>
  <si>
    <t>44.    These results are the annual natural gas consumptions for the case with the old recuperator and the case with the new recuperator assuming 8760 hours per year operation.</t>
  </si>
  <si>
    <t>46.    This is the annual natural gas savings calculated as a percentage of current energy use.</t>
  </si>
  <si>
    <t xml:space="preserve">47.    This is the annual natural gas savings in therms per year.  This number is calculated using the percentage at line 46 and the gas consumption used at line 6. </t>
  </si>
  <si>
    <t>49.    This is the dollar savings based on the natural gas price per therm indicated on Line 48.</t>
  </si>
  <si>
    <t xml:space="preserve">48.    Price of Gas in terms of $/therm. </t>
  </si>
  <si>
    <t>This tool is capable of capturing annual operation with varying duty cycles.  There are four flow rates "at load" and one for the oxidizer on standby.  The first four lines in this section are for "at load" flow conditions.  The last line is the unit's standbyflowrate.  Enter the ACFM and the percentage of operating time at that particular flow rate.  The percentage of time that the oxidizer is at standby will be calculated and inferred by the percentages of the other four "at load"  flows.  You must enter these data for the before and after condition.</t>
  </si>
  <si>
    <t>16.    For the cases where the answer is "Yes" at line 15, enter the percentage of excess air used for the thermal oxidizer burner as appropriate for each case.</t>
  </si>
  <si>
    <t>26.     Standby flow rate (acfm):  These values for baseline and new are retrieved from the “Common Data Inputs” at the VOC/Air Flow Rate Schedule (Line 14.) for utility.</t>
  </si>
  <si>
    <t xml:space="preserve">27.    Depending on the type of heat exchanger specification indicated above, enter either the heat exchanger efficiencies (%) or the heat exchanger exhaust temperatures (F).  If the heat exchanger efficiency is selected, the suggested values are 40-60%.  Entering a value outside this range will result in an error message.  If heat exchanger exhaust  temperature is chosen, a value greater than 100 and less than the VOC destruction temperature (Line 10) must be entered.  </t>
  </si>
  <si>
    <t>30.    This is the annual natural gas savings calculated as a percentage of current energy use.</t>
  </si>
  <si>
    <t>32.     Price of Gas in terms of $/therm.</t>
  </si>
  <si>
    <t>43.    Depending on the type of heat exchanger specification indicated above, enter either the heat exchanger efficiencies (%) or the heat exchanger exhaust temperatures (F) in each case.  If the heat exchanger efficiency is selected, the suggested values are 40-95%.  Entering a value outside this range will result in an error message.  If heat exchanger exhaust  temperature is chosen, a value greater than 100 and less than the VOC destruction temperature (Line 10) must be entered.</t>
  </si>
  <si>
    <t>29.    This is the calculated hours of operation per year.  If this number is substantially different from the customer's experience, there may be an error in earlier inputs such as VOC stream characteristics or scheduling.  The number will appear red and there will be an error message if the number exceeds 8760 hours.</t>
  </si>
  <si>
    <t>45.    This is the calculated hours of operation per year.  If this number is substantially different from the customer's experience, there may be an error in earlier inputs such as VOC stream characteristics or scheduling.  The number will appear red and there will be an error message if the number exceeds 8760 hours.</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</si>
</sst>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_(* #,##0.0_);_(* \(#,##0.0\);_(* &quot;-&quot;??_);_(@_)"/>
    <numFmt numFmtId="168" formatCode="_(* #,##0_);_(* \(#,##0\);_(* &quot;-&quot;??_);_(@_)"/>
    <numFmt numFmtId="169" formatCode="_(* #,##0.000_);_(* \(#,##0.000\);_(* &quot;-&quot;??_);_(@_)"/>
    <numFmt numFmtId="170" formatCode="0.0%"/>
    <numFmt numFmtId="171" formatCode="_(* #,##0.0_);_(* \(#,##0.0\);_(* &quot;-&quot;?_);_(@_)"/>
    <numFmt numFmtId="172" formatCode="0.000000"/>
    <numFmt numFmtId="173" formatCode="0.00000"/>
    <numFmt numFmtId="174" formatCode="&quot;$&quot;#,##0.000"/>
    <numFmt numFmtId="175" formatCode="&quot;$&quot;#,##0"/>
    <numFmt numFmtId="176" formatCode="#,##0.000"/>
    <numFmt numFmtId="177" formatCode="&quot;$&quot;#,##0.00"/>
    <numFmt numFmtId="178" formatCode="_(* #,##0.00000_);_(* \(#,##0.00000\);_(* &quot;-&quot;?????_);_(@_)"/>
    <numFmt numFmtId="179" formatCode="_(* #,##0.000_);_(* \(#,##0.000\);_(* &quot;-&quot;???_);_(@_)"/>
    <numFmt numFmtId="180" formatCode="&quot;Yes&quot;;&quot;Yes&quot;;&quot;No&quot;"/>
    <numFmt numFmtId="181" formatCode="&quot;True&quot;;&quot;True&quot;;&quot;False&quot;"/>
    <numFmt numFmtId="182" formatCode="&quot;On&quot;;&quot;On&quot;;&quot;Off&quot;"/>
    <numFmt numFmtId="183" formatCode="[$€-2]\ #,##0.00_);[Red]\([$€-2]\ #,##0.00\)"/>
  </numFmts>
  <fonts count="27">
    <font>
      <sz val="10"/>
      <name val="Arial"/>
      <family val="0"/>
    </font>
    <font>
      <vertAlign val="subscript"/>
      <sz val="10"/>
      <name val="Arial"/>
      <family val="2"/>
    </font>
    <font>
      <b/>
      <vertAlign val="subscript"/>
      <sz val="10"/>
      <name val="Arial"/>
      <family val="2"/>
    </font>
    <font>
      <sz val="8"/>
      <name val="Arial"/>
      <family val="0"/>
    </font>
    <font>
      <sz val="8"/>
      <name val="Tahoma"/>
      <family val="0"/>
    </font>
    <font>
      <b/>
      <sz val="8"/>
      <name val="Tahoma"/>
      <family val="0"/>
    </font>
    <font>
      <b/>
      <sz val="10"/>
      <name val="Arial"/>
      <family val="2"/>
    </font>
    <font>
      <b/>
      <vertAlign val="superscript"/>
      <sz val="10"/>
      <name val="Arial"/>
      <family val="2"/>
    </font>
    <font>
      <b/>
      <sz val="10"/>
      <color indexed="10"/>
      <name val="Arial"/>
      <family val="2"/>
    </font>
    <font>
      <b/>
      <sz val="24"/>
      <name val="Arial"/>
      <family val="2"/>
    </font>
    <font>
      <b/>
      <sz val="12"/>
      <color indexed="9"/>
      <name val="Arial"/>
      <family val="0"/>
    </font>
    <font>
      <sz val="10"/>
      <color indexed="12"/>
      <name val="Arial"/>
      <family val="0"/>
    </font>
    <font>
      <sz val="24"/>
      <name val="Arial"/>
      <family val="0"/>
    </font>
    <font>
      <b/>
      <sz val="28"/>
      <name val="Arial"/>
      <family val="2"/>
    </font>
    <font>
      <i/>
      <sz val="12"/>
      <name val="Arial"/>
      <family val="0"/>
    </font>
    <font>
      <i/>
      <sz val="10"/>
      <name val="Arial"/>
      <family val="0"/>
    </font>
    <font>
      <sz val="10"/>
      <color indexed="9"/>
      <name val="Arial"/>
      <family val="0"/>
    </font>
    <font>
      <sz val="18"/>
      <name val="Arial"/>
      <family val="0"/>
    </font>
    <font>
      <sz val="12"/>
      <name val="Arial"/>
      <family val="2"/>
    </font>
    <font>
      <sz val="10"/>
      <color indexed="8"/>
      <name val="Arial"/>
      <family val="0"/>
    </font>
    <font>
      <b/>
      <sz val="10"/>
      <color indexed="8"/>
      <name val="Arial"/>
      <family val="0"/>
    </font>
    <font>
      <b/>
      <sz val="12"/>
      <color indexed="8"/>
      <name val="Arial"/>
      <family val="0"/>
    </font>
    <font>
      <u val="single"/>
      <sz val="7.5"/>
      <color indexed="12"/>
      <name val="Arial"/>
      <family val="0"/>
    </font>
    <font>
      <u val="single"/>
      <sz val="7.5"/>
      <color indexed="36"/>
      <name val="Arial"/>
      <family val="0"/>
    </font>
    <font>
      <i/>
      <sz val="10"/>
      <color indexed="8"/>
      <name val="Arial"/>
      <family val="2"/>
    </font>
    <font>
      <b/>
      <sz val="10"/>
      <color indexed="9"/>
      <name val="Arial"/>
      <family val="0"/>
    </font>
    <font>
      <b/>
      <sz val="8"/>
      <name val="Arial"/>
      <family val="2"/>
    </font>
  </fonts>
  <fills count="9">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15"/>
        <bgColor indexed="64"/>
      </patternFill>
    </fill>
    <fill>
      <patternFill patternType="solid">
        <fgColor indexed="9"/>
        <bgColor indexed="64"/>
      </patternFill>
    </fill>
    <fill>
      <patternFill patternType="solid">
        <fgColor indexed="62"/>
        <bgColor indexed="64"/>
      </patternFill>
    </fill>
    <fill>
      <patternFill patternType="solid">
        <fgColor indexed="22"/>
        <bgColor indexed="64"/>
      </patternFill>
    </fill>
    <fill>
      <patternFill patternType="solid">
        <fgColor indexed="10"/>
        <bgColor indexed="64"/>
      </patternFill>
    </fill>
  </fills>
  <borders count="31">
    <border>
      <left/>
      <right/>
      <top/>
      <bottom/>
      <diagonal/>
    </border>
    <border>
      <left style="thin"/>
      <right style="thin"/>
      <top style="thin"/>
      <bottom style="thin"/>
    </border>
    <border>
      <left style="medium"/>
      <right style="medium"/>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color indexed="9"/>
      </right>
      <top style="thin">
        <color indexed="9"/>
      </top>
      <bottom style="thin"/>
    </border>
    <border>
      <left style="thin">
        <color indexed="9"/>
      </left>
      <right style="thin">
        <color indexed="9"/>
      </right>
      <top style="thin">
        <color indexed="9"/>
      </top>
      <bottom style="thin"/>
    </border>
    <border>
      <left style="thin"/>
      <right style="thin">
        <color indexed="9"/>
      </right>
      <top style="thin"/>
      <bottom style="thin"/>
    </border>
    <border>
      <left style="thin">
        <color indexed="9"/>
      </left>
      <right style="thin"/>
      <top style="thin"/>
      <bottom style="thin"/>
    </border>
    <border>
      <left>
        <color indexed="63"/>
      </left>
      <right style="thin"/>
      <top style="thin"/>
      <bottom>
        <color indexed="63"/>
      </bottom>
    </border>
    <border>
      <left style="thin"/>
      <right style="thin">
        <color indexed="9"/>
      </right>
      <top style="thin"/>
      <bottom style="thin">
        <color indexed="9"/>
      </bottom>
    </border>
    <border>
      <left style="thin">
        <color indexed="9"/>
      </left>
      <right style="thin">
        <color indexed="9"/>
      </right>
      <top style="thin"/>
      <bottom style="thin">
        <color indexed="9"/>
      </bottom>
    </border>
    <border>
      <left style="thin">
        <color indexed="9"/>
      </left>
      <right style="thin"/>
      <top style="thin"/>
      <bottom style="thin">
        <color indexed="9"/>
      </bottom>
    </border>
    <border>
      <left style="thin"/>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9"/>
      </left>
      <right style="thin"/>
      <top style="thin">
        <color indexed="9"/>
      </top>
      <bottom style="thin">
        <color indexed="9"/>
      </bottom>
    </border>
    <border>
      <left style="thin">
        <color indexed="9"/>
      </left>
      <right style="thin"/>
      <top style="thin">
        <color indexed="9"/>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style="thin">
        <color indexed="9"/>
      </left>
      <right>
        <color indexed="63"/>
      </right>
      <top style="thin"/>
      <bottom style="thin"/>
    </border>
    <border>
      <left style="thin">
        <color indexed="9"/>
      </left>
      <right>
        <color indexed="63"/>
      </right>
      <top style="thin">
        <color indexed="9"/>
      </top>
      <bottom style="thin"/>
    </border>
    <border>
      <left style="thin"/>
      <right style="thin"/>
      <top style="thin"/>
      <bottom>
        <color indexed="63"/>
      </bottom>
    </border>
    <border>
      <left style="thin"/>
      <right style="thin"/>
      <top>
        <color indexed="63"/>
      </top>
      <bottom style="thin"/>
    </border>
    <border>
      <left style="thin">
        <color indexed="9"/>
      </left>
      <right style="thin">
        <color indexed="9"/>
      </right>
      <top style="thin"/>
      <bottom style="thin"/>
    </border>
    <border>
      <left style="thin">
        <color indexed="9"/>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cellStyleXfs>
  <cellXfs count="311">
    <xf numFmtId="0" fontId="0" fillId="0" borderId="0" xfId="0" applyAlignment="1">
      <alignment/>
    </xf>
    <xf numFmtId="168" fontId="0" fillId="0" borderId="0" xfId="15" applyNumberFormat="1" applyAlignment="1">
      <alignment/>
    </xf>
    <xf numFmtId="168" fontId="0" fillId="2" borderId="1" xfId="15" applyNumberFormat="1" applyFill="1" applyBorder="1" applyAlignment="1">
      <alignment/>
    </xf>
    <xf numFmtId="168" fontId="0" fillId="3" borderId="1" xfId="15" applyNumberFormat="1" applyFill="1" applyBorder="1" applyAlignment="1">
      <alignment/>
    </xf>
    <xf numFmtId="9" fontId="0" fillId="2" borderId="1" xfId="21" applyFill="1" applyBorder="1" applyAlignment="1">
      <alignment/>
    </xf>
    <xf numFmtId="167" fontId="0" fillId="3" borderId="1" xfId="15" applyNumberFormat="1" applyFill="1" applyBorder="1" applyAlignment="1">
      <alignment/>
    </xf>
    <xf numFmtId="170" fontId="0" fillId="2" borderId="1" xfId="21" applyNumberFormat="1" applyFont="1" applyFill="1" applyBorder="1" applyAlignment="1">
      <alignment/>
    </xf>
    <xf numFmtId="168" fontId="0" fillId="3" borderId="1" xfId="15" applyNumberFormat="1" applyFont="1" applyFill="1" applyBorder="1" applyAlignment="1">
      <alignment/>
    </xf>
    <xf numFmtId="0" fontId="0" fillId="0" borderId="0" xfId="0" applyAlignment="1">
      <alignment wrapText="1"/>
    </xf>
    <xf numFmtId="43" fontId="0" fillId="0" borderId="0" xfId="15" applyAlignment="1">
      <alignment/>
    </xf>
    <xf numFmtId="167" fontId="0" fillId="0" borderId="0" xfId="15" applyNumberFormat="1" applyAlignment="1">
      <alignment/>
    </xf>
    <xf numFmtId="43" fontId="0" fillId="0" borderId="0" xfId="0" applyNumberFormat="1" applyAlignment="1">
      <alignment/>
    </xf>
    <xf numFmtId="167" fontId="0" fillId="0" borderId="0" xfId="0" applyNumberFormat="1" applyAlignment="1">
      <alignment/>
    </xf>
    <xf numFmtId="43" fontId="0" fillId="3" borderId="1" xfId="15" applyNumberFormat="1" applyFill="1" applyBorder="1" applyAlignment="1">
      <alignment/>
    </xf>
    <xf numFmtId="166" fontId="0" fillId="0" borderId="0" xfId="0" applyNumberFormat="1" applyAlignment="1">
      <alignment/>
    </xf>
    <xf numFmtId="168" fontId="6" fillId="4" borderId="2" xfId="0" applyNumberFormat="1" applyFont="1" applyFill="1" applyBorder="1" applyAlignment="1">
      <alignment/>
    </xf>
    <xf numFmtId="0" fontId="6" fillId="0" borderId="0" xfId="0" applyFont="1" applyAlignment="1">
      <alignment/>
    </xf>
    <xf numFmtId="0" fontId="7" fillId="0" borderId="1" xfId="0" applyFont="1" applyBorder="1" applyAlignment="1">
      <alignment/>
    </xf>
    <xf numFmtId="0" fontId="6" fillId="0" borderId="1" xfId="0" applyFont="1" applyBorder="1" applyAlignment="1">
      <alignment/>
    </xf>
    <xf numFmtId="170" fontId="6" fillId="0" borderId="1" xfId="21" applyNumberFormat="1" applyFont="1" applyBorder="1" applyAlignment="1">
      <alignment/>
    </xf>
    <xf numFmtId="168" fontId="6" fillId="0" borderId="1" xfId="15" applyNumberFormat="1" applyFont="1" applyBorder="1" applyAlignment="1">
      <alignment/>
    </xf>
    <xf numFmtId="0" fontId="7" fillId="0" borderId="0" xfId="0" applyFont="1" applyBorder="1" applyAlignment="1">
      <alignment/>
    </xf>
    <xf numFmtId="0" fontId="6" fillId="0" borderId="0" xfId="0" applyFont="1" applyBorder="1" applyAlignment="1">
      <alignment/>
    </xf>
    <xf numFmtId="170" fontId="6" fillId="0" borderId="0" xfId="21" applyNumberFormat="1" applyFont="1" applyBorder="1" applyAlignment="1">
      <alignment/>
    </xf>
    <xf numFmtId="168" fontId="6" fillId="0" borderId="0" xfId="15" applyNumberFormat="1" applyFont="1" applyBorder="1" applyAlignment="1">
      <alignment/>
    </xf>
    <xf numFmtId="168" fontId="6" fillId="0" borderId="0" xfId="15" applyNumberFormat="1" applyFont="1" applyFill="1" applyBorder="1" applyAlignment="1">
      <alignment/>
    </xf>
    <xf numFmtId="0" fontId="0" fillId="0" borderId="0" xfId="0" applyAlignment="1">
      <alignment horizontal="center"/>
    </xf>
    <xf numFmtId="0" fontId="0" fillId="0" borderId="0" xfId="0" applyAlignment="1">
      <alignment/>
    </xf>
    <xf numFmtId="3" fontId="0" fillId="0" borderId="0" xfId="0" applyNumberFormat="1" applyAlignment="1">
      <alignment/>
    </xf>
    <xf numFmtId="168" fontId="0" fillId="0" borderId="1" xfId="15" applyNumberFormat="1" applyFill="1" applyBorder="1" applyAlignment="1">
      <alignment/>
    </xf>
    <xf numFmtId="0" fontId="0" fillId="0" borderId="0" xfId="0" applyBorder="1" applyAlignment="1">
      <alignment wrapText="1"/>
    </xf>
    <xf numFmtId="0" fontId="0" fillId="0" borderId="0" xfId="0" applyBorder="1" applyAlignment="1">
      <alignment/>
    </xf>
    <xf numFmtId="0" fontId="0" fillId="0" borderId="0" xfId="0" applyBorder="1" applyAlignment="1">
      <alignment horizontal="left" wrapText="1"/>
    </xf>
    <xf numFmtId="0" fontId="0" fillId="0" borderId="0" xfId="0" applyFont="1" applyAlignment="1">
      <alignment horizontal="center"/>
    </xf>
    <xf numFmtId="0" fontId="0" fillId="0" borderId="0" xfId="0" applyFont="1" applyBorder="1" applyAlignment="1">
      <alignment horizontal="left" vertical="top"/>
    </xf>
    <xf numFmtId="0" fontId="0" fillId="0" borderId="0" xfId="0" applyFont="1" applyAlignment="1">
      <alignment/>
    </xf>
    <xf numFmtId="0" fontId="0" fillId="0" borderId="1" xfId="0" applyBorder="1" applyAlignment="1">
      <alignment horizontal="center"/>
    </xf>
    <xf numFmtId="0" fontId="0" fillId="0" borderId="0" xfId="0" applyAlignment="1">
      <alignment horizontal="right"/>
    </xf>
    <xf numFmtId="9" fontId="0" fillId="0" borderId="0" xfId="0" applyNumberFormat="1" applyAlignment="1">
      <alignment horizontal="center"/>
    </xf>
    <xf numFmtId="3" fontId="11" fillId="0" borderId="1" xfId="21" applyNumberFormat="1" applyFont="1" applyFill="1" applyBorder="1" applyAlignment="1">
      <alignment horizontal="center"/>
    </xf>
    <xf numFmtId="168" fontId="0" fillId="0" borderId="0" xfId="0" applyNumberFormat="1" applyAlignment="1">
      <alignment/>
    </xf>
    <xf numFmtId="0" fontId="0" fillId="0" borderId="0" xfId="0" applyAlignment="1">
      <alignment horizontal="center" wrapText="1"/>
    </xf>
    <xf numFmtId="168" fontId="11" fillId="2" borderId="1" xfId="15" applyNumberFormat="1" applyFont="1" applyFill="1" applyBorder="1" applyAlignment="1">
      <alignment/>
    </xf>
    <xf numFmtId="43" fontId="11" fillId="3" borderId="1" xfId="15" applyNumberFormat="1" applyFont="1" applyFill="1" applyBorder="1" applyAlignment="1">
      <alignment/>
    </xf>
    <xf numFmtId="9" fontId="11" fillId="2" borderId="1" xfId="21" applyFont="1" applyFill="1" applyBorder="1" applyAlignment="1">
      <alignment/>
    </xf>
    <xf numFmtId="0" fontId="0" fillId="5" borderId="0" xfId="0" applyFill="1" applyBorder="1" applyAlignment="1">
      <alignment wrapText="1"/>
    </xf>
    <xf numFmtId="0" fontId="0" fillId="5" borderId="0" xfId="0" applyFill="1" applyBorder="1" applyAlignment="1">
      <alignment horizontal="center"/>
    </xf>
    <xf numFmtId="0" fontId="13" fillId="5" borderId="0" xfId="0" applyFont="1" applyFill="1" applyBorder="1" applyAlignment="1" applyProtection="1">
      <alignment horizontal="left" vertical="top"/>
      <protection hidden="1"/>
    </xf>
    <xf numFmtId="0" fontId="9" fillId="5" borderId="0" xfId="0" applyFont="1" applyFill="1" applyBorder="1" applyAlignment="1" applyProtection="1">
      <alignment horizontal="center" vertical="top"/>
      <protection hidden="1"/>
    </xf>
    <xf numFmtId="2" fontId="0" fillId="2" borderId="1" xfId="15" applyNumberFormat="1" applyFill="1" applyBorder="1" applyAlignment="1">
      <alignment/>
    </xf>
    <xf numFmtId="0" fontId="0" fillId="0" borderId="0" xfId="0" applyBorder="1" applyAlignment="1">
      <alignment vertical="top" wrapText="1"/>
    </xf>
    <xf numFmtId="0" fontId="0" fillId="0" borderId="1" xfId="0" applyBorder="1" applyAlignment="1">
      <alignment horizontal="left"/>
    </xf>
    <xf numFmtId="3" fontId="10" fillId="6" borderId="1" xfId="0" applyNumberFormat="1" applyFont="1" applyFill="1" applyBorder="1" applyAlignment="1" applyProtection="1">
      <alignment horizontal="center" vertical="top" wrapText="1"/>
      <protection/>
    </xf>
    <xf numFmtId="0" fontId="0" fillId="0" borderId="1" xfId="0" applyFont="1" applyBorder="1" applyAlignment="1" applyProtection="1">
      <alignment horizontal="center" vertical="center"/>
      <protection/>
    </xf>
    <xf numFmtId="0" fontId="0" fillId="0" borderId="1" xfId="0" applyFont="1" applyBorder="1" applyAlignment="1" applyProtection="1">
      <alignment horizontal="center" vertical="center" wrapText="1"/>
      <protection/>
    </xf>
    <xf numFmtId="0" fontId="0" fillId="0" borderId="0" xfId="0" applyBorder="1" applyAlignment="1">
      <alignment/>
    </xf>
    <xf numFmtId="0" fontId="0" fillId="0" borderId="0" xfId="0" applyBorder="1" applyAlignment="1">
      <alignment horizontal="center"/>
    </xf>
    <xf numFmtId="0" fontId="19" fillId="0" borderId="0" xfId="0" applyFont="1" applyFill="1" applyBorder="1" applyAlignment="1" applyProtection="1">
      <alignment horizontal="left" vertical="top"/>
      <protection/>
    </xf>
    <xf numFmtId="0" fontId="19" fillId="0" borderId="0" xfId="0" applyFont="1" applyFill="1" applyBorder="1" applyAlignment="1" applyProtection="1">
      <alignment vertical="top"/>
      <protection/>
    </xf>
    <xf numFmtId="0" fontId="19" fillId="0" borderId="0" xfId="0" applyFont="1" applyFill="1" applyBorder="1" applyAlignment="1">
      <alignment horizontal="center" vertical="top"/>
    </xf>
    <xf numFmtId="0" fontId="19" fillId="0" borderId="0" xfId="0" applyFont="1" applyFill="1" applyBorder="1" applyAlignment="1">
      <alignment horizontal="left" vertical="top"/>
    </xf>
    <xf numFmtId="0" fontId="19" fillId="0" borderId="0" xfId="0" applyFont="1" applyFill="1" applyBorder="1" applyAlignment="1">
      <alignment vertical="top"/>
    </xf>
    <xf numFmtId="0" fontId="19" fillId="0" borderId="0" xfId="0" applyFont="1" applyFill="1" applyBorder="1" applyAlignment="1">
      <alignment/>
    </xf>
    <xf numFmtId="0" fontId="19" fillId="0" borderId="1" xfId="0" applyFont="1" applyFill="1" applyBorder="1" applyAlignment="1">
      <alignment horizontal="left" wrapText="1"/>
    </xf>
    <xf numFmtId="0" fontId="19" fillId="0" borderId="1" xfId="0" applyFont="1" applyFill="1" applyBorder="1" applyAlignment="1">
      <alignment horizontal="left"/>
    </xf>
    <xf numFmtId="0" fontId="0" fillId="0" borderId="0" xfId="0" applyFill="1" applyAlignment="1">
      <alignment/>
    </xf>
    <xf numFmtId="0" fontId="0" fillId="6" borderId="0" xfId="0" applyFont="1" applyFill="1" applyBorder="1" applyAlignment="1" applyProtection="1">
      <alignment/>
      <protection/>
    </xf>
    <xf numFmtId="0" fontId="0" fillId="0" borderId="0" xfId="0" applyFont="1" applyFill="1" applyBorder="1" applyAlignment="1" applyProtection="1">
      <alignment/>
      <protection/>
    </xf>
    <xf numFmtId="0" fontId="17" fillId="5" borderId="0" xfId="0" applyFont="1" applyFill="1" applyBorder="1" applyAlignment="1">
      <alignment horizontal="left" vertical="top"/>
    </xf>
    <xf numFmtId="0" fontId="24" fillId="0" borderId="0" xfId="0" applyFont="1" applyFill="1" applyBorder="1" applyAlignment="1" applyProtection="1">
      <alignment horizontal="left" vertical="top"/>
      <protection/>
    </xf>
    <xf numFmtId="0" fontId="0" fillId="6" borderId="1" xfId="0" applyFill="1" applyBorder="1" applyAlignment="1">
      <alignment/>
    </xf>
    <xf numFmtId="0" fontId="0" fillId="0" borderId="1" xfId="0" applyBorder="1" applyAlignment="1">
      <alignment/>
    </xf>
    <xf numFmtId="0" fontId="0" fillId="6" borderId="1" xfId="0" applyFont="1" applyFill="1" applyBorder="1" applyAlignment="1" applyProtection="1">
      <alignment vertical="center"/>
      <protection/>
    </xf>
    <xf numFmtId="0" fontId="0" fillId="6" borderId="1" xfId="0" applyFont="1" applyFill="1" applyBorder="1" applyAlignment="1" applyProtection="1">
      <alignment/>
      <protection/>
    </xf>
    <xf numFmtId="0" fontId="0" fillId="0" borderId="1" xfId="0" applyFill="1" applyBorder="1" applyAlignment="1">
      <alignment/>
    </xf>
    <xf numFmtId="0" fontId="0" fillId="0" borderId="1" xfId="0" applyBorder="1" applyAlignment="1">
      <alignment wrapText="1"/>
    </xf>
    <xf numFmtId="0" fontId="20" fillId="0" borderId="1" xfId="0" applyFont="1" applyFill="1" applyBorder="1" applyAlignment="1">
      <alignment horizontal="center"/>
    </xf>
    <xf numFmtId="0" fontId="19" fillId="0" borderId="1" xfId="0" applyFont="1" applyFill="1" applyBorder="1" applyAlignment="1">
      <alignment/>
    </xf>
    <xf numFmtId="0" fontId="19" fillId="0" borderId="1" xfId="0" applyFont="1" applyFill="1" applyBorder="1" applyAlignment="1">
      <alignment/>
    </xf>
    <xf numFmtId="0" fontId="19" fillId="0" borderId="1" xfId="0" applyFont="1" applyFill="1" applyBorder="1" applyAlignment="1">
      <alignment wrapText="1"/>
    </xf>
    <xf numFmtId="0" fontId="20" fillId="0" borderId="1" xfId="0" applyFont="1" applyFill="1" applyBorder="1" applyAlignment="1">
      <alignment/>
    </xf>
    <xf numFmtId="0" fontId="0" fillId="0" borderId="0" xfId="0" applyAlignment="1" applyProtection="1">
      <alignment vertical="top"/>
      <protection/>
    </xf>
    <xf numFmtId="0" fontId="0" fillId="0" borderId="3" xfId="0" applyBorder="1" applyAlignment="1">
      <alignment/>
    </xf>
    <xf numFmtId="0" fontId="0" fillId="0" borderId="0" xfId="0" applyBorder="1" applyAlignment="1" applyProtection="1">
      <alignment vertical="top"/>
      <protection/>
    </xf>
    <xf numFmtId="0" fontId="0" fillId="0" borderId="4" xfId="0" applyBorder="1" applyAlignment="1" applyProtection="1">
      <alignment vertical="top"/>
      <protection/>
    </xf>
    <xf numFmtId="0" fontId="0" fillId="0" borderId="3" xfId="0" applyFont="1" applyBorder="1" applyAlignment="1">
      <alignment vertical="top"/>
    </xf>
    <xf numFmtId="0" fontId="0" fillId="0" borderId="0" xfId="0" applyFont="1" applyBorder="1" applyAlignment="1">
      <alignment vertical="top"/>
    </xf>
    <xf numFmtId="0" fontId="0" fillId="0" borderId="3" xfId="0" applyBorder="1" applyAlignment="1" applyProtection="1">
      <alignment vertical="top"/>
      <protection/>
    </xf>
    <xf numFmtId="0" fontId="0" fillId="0" borderId="5" xfId="0" applyBorder="1" applyAlignment="1" applyProtection="1">
      <alignment vertical="top"/>
      <protection/>
    </xf>
    <xf numFmtId="0" fontId="0" fillId="0" borderId="6" xfId="0" applyBorder="1" applyAlignment="1" applyProtection="1">
      <alignment vertical="top"/>
      <protection/>
    </xf>
    <xf numFmtId="0" fontId="0" fillId="0" borderId="7" xfId="0" applyBorder="1" applyAlignment="1" applyProtection="1">
      <alignment vertical="top"/>
      <protection/>
    </xf>
    <xf numFmtId="3" fontId="19" fillId="7" borderId="1" xfId="0" applyNumberFormat="1" applyFont="1" applyFill="1" applyBorder="1" applyAlignment="1">
      <alignment horizontal="center"/>
    </xf>
    <xf numFmtId="3" fontId="10" fillId="6" borderId="1" xfId="0" applyNumberFormat="1" applyFont="1" applyFill="1" applyBorder="1" applyAlignment="1">
      <alignment vertical="center" wrapText="1"/>
    </xf>
    <xf numFmtId="0" fontId="25" fillId="8" borderId="1" xfId="0" applyFont="1" applyFill="1" applyBorder="1" applyAlignment="1">
      <alignment horizontal="center"/>
    </xf>
    <xf numFmtId="0" fontId="25" fillId="8" borderId="8" xfId="0" applyFont="1" applyFill="1" applyBorder="1" applyAlignment="1">
      <alignment horizontal="center"/>
    </xf>
    <xf numFmtId="0" fontId="25" fillId="8" borderId="9" xfId="0" applyFont="1" applyFill="1" applyBorder="1" applyAlignment="1">
      <alignment horizontal="center" wrapText="1"/>
    </xf>
    <xf numFmtId="3" fontId="21" fillId="6" borderId="1" xfId="0" applyNumberFormat="1" applyFont="1" applyFill="1" applyBorder="1" applyAlignment="1">
      <alignment horizontal="center" vertical="center" wrapText="1"/>
    </xf>
    <xf numFmtId="0" fontId="19" fillId="6" borderId="1" xfId="0" applyFont="1" applyFill="1" applyBorder="1" applyAlignment="1">
      <alignment horizontal="center"/>
    </xf>
    <xf numFmtId="0" fontId="20" fillId="6" borderId="1" xfId="0" applyFont="1" applyFill="1" applyBorder="1" applyAlignment="1">
      <alignment wrapText="1"/>
    </xf>
    <xf numFmtId="3" fontId="10" fillId="6" borderId="1" xfId="0" applyNumberFormat="1" applyFont="1" applyFill="1" applyBorder="1" applyAlignment="1">
      <alignment vertical="center" wrapText="1"/>
    </xf>
    <xf numFmtId="0" fontId="10" fillId="8" borderId="10" xfId="0" applyFont="1" applyFill="1" applyBorder="1" applyAlignment="1">
      <alignment horizontal="center"/>
    </xf>
    <xf numFmtId="0" fontId="10" fillId="8" borderId="11" xfId="0" applyFont="1" applyFill="1" applyBorder="1" applyAlignment="1">
      <alignment horizontal="center"/>
    </xf>
    <xf numFmtId="3" fontId="20" fillId="0" borderId="1" xfId="0" applyNumberFormat="1" applyFont="1" applyFill="1" applyBorder="1" applyAlignment="1" applyProtection="1">
      <alignment horizontal="left" vertical="center"/>
      <protection/>
    </xf>
    <xf numFmtId="0" fontId="20" fillId="6" borderId="1" xfId="0" applyFont="1" applyFill="1" applyBorder="1" applyAlignment="1">
      <alignment horizontal="center" wrapText="1"/>
    </xf>
    <xf numFmtId="0" fontId="25" fillId="6" borderId="1" xfId="0" applyFont="1" applyFill="1" applyBorder="1" applyAlignment="1">
      <alignment horizontal="center" wrapText="1"/>
    </xf>
    <xf numFmtId="0" fontId="19" fillId="6" borderId="1" xfId="0" applyFont="1" applyFill="1" applyBorder="1" applyAlignment="1">
      <alignment/>
    </xf>
    <xf numFmtId="0" fontId="20" fillId="6" borderId="1" xfId="0" applyFont="1" applyFill="1" applyBorder="1" applyAlignment="1">
      <alignment/>
    </xf>
    <xf numFmtId="3" fontId="10" fillId="6" borderId="1" xfId="0" applyNumberFormat="1" applyFont="1" applyFill="1" applyBorder="1" applyAlignment="1">
      <alignment vertical="center"/>
    </xf>
    <xf numFmtId="3" fontId="10" fillId="6" borderId="12" xfId="0" applyNumberFormat="1" applyFont="1" applyFill="1" applyBorder="1" applyAlignment="1" applyProtection="1">
      <alignment horizontal="center" vertical="top" wrapText="1"/>
      <protection/>
    </xf>
    <xf numFmtId="0" fontId="0" fillId="0" borderId="1" xfId="0" applyFill="1" applyBorder="1" applyAlignment="1">
      <alignment wrapText="1"/>
    </xf>
    <xf numFmtId="0" fontId="0" fillId="0" borderId="13" xfId="0" applyFill="1" applyBorder="1" applyAlignment="1">
      <alignment horizontal="center"/>
    </xf>
    <xf numFmtId="0" fontId="0" fillId="0" borderId="14" xfId="0" applyFill="1" applyBorder="1" applyAlignment="1">
      <alignment wrapText="1"/>
    </xf>
    <xf numFmtId="0" fontId="0" fillId="0" borderId="14" xfId="0" applyFill="1" applyBorder="1" applyAlignment="1">
      <alignment/>
    </xf>
    <xf numFmtId="0" fontId="0" fillId="0" borderId="15" xfId="0" applyFill="1" applyBorder="1" applyAlignment="1">
      <alignment/>
    </xf>
    <xf numFmtId="0" fontId="0" fillId="0" borderId="16" xfId="0" applyFill="1" applyBorder="1" applyAlignment="1">
      <alignment horizontal="center"/>
    </xf>
    <xf numFmtId="0" fontId="0" fillId="0" borderId="17" xfId="0" applyFill="1" applyBorder="1" applyAlignment="1">
      <alignment wrapText="1"/>
    </xf>
    <xf numFmtId="0" fontId="0" fillId="0" borderId="18" xfId="0" applyFill="1" applyBorder="1" applyAlignment="1">
      <alignment wrapText="1"/>
    </xf>
    <xf numFmtId="0" fontId="0" fillId="0" borderId="17" xfId="0" applyFill="1" applyBorder="1" applyAlignment="1">
      <alignment/>
    </xf>
    <xf numFmtId="0" fontId="0" fillId="0" borderId="18" xfId="0" applyFill="1" applyBorder="1" applyAlignment="1">
      <alignment/>
    </xf>
    <xf numFmtId="0" fontId="0" fillId="0" borderId="8" xfId="0" applyFill="1" applyBorder="1" applyAlignment="1">
      <alignment horizontal="center"/>
    </xf>
    <xf numFmtId="0" fontId="0" fillId="0" borderId="9" xfId="0" applyFill="1" applyBorder="1" applyAlignment="1">
      <alignment wrapText="1"/>
    </xf>
    <xf numFmtId="0" fontId="0" fillId="0" borderId="9" xfId="0" applyFill="1" applyBorder="1" applyAlignment="1">
      <alignment horizontal="center"/>
    </xf>
    <xf numFmtId="0" fontId="0" fillId="0" borderId="9" xfId="0" applyFill="1" applyBorder="1" applyAlignment="1">
      <alignment/>
    </xf>
    <xf numFmtId="0" fontId="0" fillId="0" borderId="19" xfId="0" applyFill="1" applyBorder="1" applyAlignment="1">
      <alignment/>
    </xf>
    <xf numFmtId="0" fontId="20" fillId="0" borderId="1" xfId="0" applyFont="1" applyFill="1" applyBorder="1" applyAlignment="1">
      <alignment horizontal="center" vertical="center"/>
    </xf>
    <xf numFmtId="0" fontId="0" fillId="6" borderId="0" xfId="0" applyFill="1" applyAlignment="1">
      <alignment/>
    </xf>
    <xf numFmtId="3" fontId="25" fillId="6" borderId="1" xfId="0" applyNumberFormat="1" applyFont="1" applyFill="1" applyBorder="1" applyAlignment="1" applyProtection="1">
      <alignment horizontal="left" vertical="center"/>
      <protection/>
    </xf>
    <xf numFmtId="3" fontId="25" fillId="6" borderId="1" xfId="0" applyNumberFormat="1" applyFont="1" applyFill="1" applyBorder="1" applyAlignment="1" applyProtection="1">
      <alignment vertical="center"/>
      <protection/>
    </xf>
    <xf numFmtId="0" fontId="16" fillId="6" borderId="1" xfId="0" applyFont="1" applyFill="1" applyBorder="1" applyAlignment="1">
      <alignment/>
    </xf>
    <xf numFmtId="0" fontId="16" fillId="6" borderId="0" xfId="0" applyFont="1" applyFill="1" applyAlignment="1">
      <alignment/>
    </xf>
    <xf numFmtId="175" fontId="10" fillId="0" borderId="1" xfId="0" applyNumberFormat="1" applyFont="1" applyFill="1" applyBorder="1" applyAlignment="1" applyProtection="1">
      <alignment vertical="center" wrapText="1"/>
      <protection/>
    </xf>
    <xf numFmtId="3" fontId="21" fillId="6" borderId="1" xfId="0" applyNumberFormat="1" applyFont="1" applyFill="1" applyBorder="1" applyAlignment="1">
      <alignment vertical="center" wrapText="1"/>
    </xf>
    <xf numFmtId="3" fontId="21" fillId="6" borderId="20" xfId="0" applyNumberFormat="1" applyFont="1" applyFill="1" applyBorder="1" applyAlignment="1">
      <alignment vertical="center" wrapText="1"/>
    </xf>
    <xf numFmtId="0" fontId="0" fillId="6" borderId="0" xfId="0" applyFill="1" applyAlignment="1">
      <alignment/>
    </xf>
    <xf numFmtId="0" fontId="19" fillId="6" borderId="1" xfId="0" applyFont="1" applyFill="1" applyBorder="1" applyAlignment="1">
      <alignment horizontal="center" wrapText="1"/>
    </xf>
    <xf numFmtId="0" fontId="0" fillId="6" borderId="1" xfId="0" applyFill="1" applyBorder="1" applyAlignment="1">
      <alignment horizontal="center"/>
    </xf>
    <xf numFmtId="0" fontId="20" fillId="6" borderId="1" xfId="0" applyFont="1" applyFill="1" applyBorder="1" applyAlignment="1">
      <alignment horizontal="center"/>
    </xf>
    <xf numFmtId="0" fontId="19" fillId="6" borderId="1" xfId="0" applyFont="1" applyFill="1" applyBorder="1" applyAlignment="1" quotePrefix="1">
      <alignment horizontal="center"/>
    </xf>
    <xf numFmtId="0" fontId="19" fillId="6" borderId="1" xfId="0" applyFont="1" applyFill="1" applyBorder="1" applyAlignment="1">
      <alignment/>
    </xf>
    <xf numFmtId="0" fontId="19" fillId="6" borderId="1" xfId="0" applyFont="1" applyFill="1" applyBorder="1" applyAlignment="1">
      <alignment wrapText="1"/>
    </xf>
    <xf numFmtId="3" fontId="20" fillId="0" borderId="21" xfId="0" applyNumberFormat="1" applyFont="1" applyFill="1" applyBorder="1" applyAlignment="1" applyProtection="1">
      <alignment horizontal="left" vertical="center"/>
      <protection/>
    </xf>
    <xf numFmtId="3" fontId="19" fillId="7" borderId="1" xfId="0" applyNumberFormat="1" applyFont="1" applyFill="1" applyBorder="1" applyAlignment="1">
      <alignment horizontal="center" vertical="center"/>
    </xf>
    <xf numFmtId="0" fontId="20" fillId="6" borderId="1" xfId="0" applyFont="1" applyFill="1" applyBorder="1" applyAlignment="1">
      <alignment horizontal="left" vertical="center"/>
    </xf>
    <xf numFmtId="0" fontId="19" fillId="7" borderId="22" xfId="0" applyFont="1" applyFill="1" applyBorder="1" applyAlignment="1">
      <alignment horizontal="left" vertical="center"/>
    </xf>
    <xf numFmtId="0" fontId="19" fillId="7" borderId="21" xfId="0" applyFont="1" applyFill="1" applyBorder="1" applyAlignment="1">
      <alignment horizontal="left" vertical="center"/>
    </xf>
    <xf numFmtId="0" fontId="19" fillId="7" borderId="20" xfId="0" applyFont="1" applyFill="1" applyBorder="1" applyAlignment="1">
      <alignment horizontal="left" vertical="center"/>
    </xf>
    <xf numFmtId="0" fontId="19" fillId="6" borderId="1" xfId="0" applyFont="1" applyFill="1" applyBorder="1" applyAlignment="1">
      <alignment horizontal="left" vertical="center"/>
    </xf>
    <xf numFmtId="0" fontId="0" fillId="0" borderId="0" xfId="0" applyFont="1" applyAlignment="1">
      <alignment horizontal="left" vertical="center"/>
    </xf>
    <xf numFmtId="0" fontId="25" fillId="6" borderId="1" xfId="0" applyFont="1" applyFill="1" applyBorder="1" applyAlignment="1">
      <alignment horizontal="left" vertical="center" wrapText="1"/>
    </xf>
    <xf numFmtId="0" fontId="16" fillId="6" borderId="1" xfId="0" applyFont="1" applyFill="1" applyBorder="1" applyAlignment="1">
      <alignment horizontal="left" vertical="center"/>
    </xf>
    <xf numFmtId="0" fontId="16" fillId="6" borderId="0" xfId="0" applyFont="1" applyFill="1" applyAlignment="1">
      <alignment horizontal="left" vertical="center"/>
    </xf>
    <xf numFmtId="175" fontId="21" fillId="6" borderId="21" xfId="0" applyNumberFormat="1" applyFont="1" applyFill="1" applyBorder="1" applyAlignment="1" applyProtection="1">
      <alignment horizontal="left" vertical="center" wrapText="1"/>
      <protection/>
    </xf>
    <xf numFmtId="0" fontId="0" fillId="6" borderId="0" xfId="0" applyFill="1" applyAlignment="1">
      <alignment horizontal="center" vertical="center"/>
    </xf>
    <xf numFmtId="0" fontId="0" fillId="0" borderId="0" xfId="0" applyFont="1" applyAlignment="1">
      <alignment horizontal="left" vertical="center"/>
    </xf>
    <xf numFmtId="0" fontId="16" fillId="6" borderId="1" xfId="0" applyFont="1" applyFill="1" applyBorder="1" applyAlignment="1">
      <alignment/>
    </xf>
    <xf numFmtId="9" fontId="19" fillId="7" borderId="1" xfId="21" applyFont="1" applyFill="1" applyBorder="1" applyAlignment="1">
      <alignment horizontal="center"/>
    </xf>
    <xf numFmtId="175" fontId="10" fillId="0" borderId="0" xfId="0" applyNumberFormat="1" applyFont="1" applyFill="1" applyBorder="1" applyAlignment="1" applyProtection="1">
      <alignment vertical="center"/>
      <protection/>
    </xf>
    <xf numFmtId="0" fontId="19" fillId="7" borderId="1" xfId="0" applyFont="1" applyFill="1" applyBorder="1" applyAlignment="1">
      <alignment horizontal="center" vertical="center"/>
    </xf>
    <xf numFmtId="0" fontId="0" fillId="6" borderId="1" xfId="0" applyFill="1" applyBorder="1" applyAlignment="1">
      <alignment vertical="center"/>
    </xf>
    <xf numFmtId="0" fontId="0" fillId="0" borderId="1" xfId="0"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0" borderId="0" xfId="0" applyFont="1" applyBorder="1" applyAlignment="1">
      <alignment horizontal="center" vertical="top"/>
    </xf>
    <xf numFmtId="0" fontId="0" fillId="0" borderId="0" xfId="0" applyFont="1" applyBorder="1" applyAlignment="1">
      <alignment horizontal="center"/>
    </xf>
    <xf numFmtId="0" fontId="0" fillId="0" borderId="1" xfId="0" applyFill="1" applyBorder="1" applyAlignment="1">
      <alignment vertical="center"/>
    </xf>
    <xf numFmtId="175" fontId="19" fillId="0" borderId="1" xfId="0" applyNumberFormat="1" applyFont="1" applyFill="1" applyBorder="1" applyAlignment="1" applyProtection="1">
      <alignment horizontal="left" vertical="center" wrapText="1"/>
      <protection/>
    </xf>
    <xf numFmtId="0" fontId="19" fillId="0" borderId="1" xfId="0" applyFont="1" applyFill="1" applyBorder="1" applyAlignment="1">
      <alignment horizontal="left" vertical="center" wrapText="1"/>
    </xf>
    <xf numFmtId="175" fontId="19" fillId="0" borderId="20" xfId="0" applyNumberFormat="1" applyFont="1" applyFill="1" applyBorder="1" applyAlignment="1" applyProtection="1">
      <alignment vertical="center" wrapText="1"/>
      <protection/>
    </xf>
    <xf numFmtId="0" fontId="20" fillId="6" borderId="22" xfId="0" applyFont="1" applyFill="1" applyBorder="1" applyAlignment="1">
      <alignment horizontal="center" wrapText="1"/>
    </xf>
    <xf numFmtId="0" fontId="19" fillId="6" borderId="22" xfId="0" applyFont="1" applyFill="1" applyBorder="1" applyAlignment="1">
      <alignment/>
    </xf>
    <xf numFmtId="0" fontId="0" fillId="0" borderId="0" xfId="0" applyAlignment="1">
      <alignment horizontal="left" vertical="center" wrapText="1"/>
    </xf>
    <xf numFmtId="0" fontId="10" fillId="6" borderId="23" xfId="0" applyFont="1" applyFill="1" applyBorder="1" applyAlignment="1">
      <alignment horizontal="center"/>
    </xf>
    <xf numFmtId="0" fontId="10" fillId="6" borderId="20" xfId="0" applyFont="1" applyFill="1" applyBorder="1" applyAlignment="1">
      <alignment/>
    </xf>
    <xf numFmtId="0" fontId="8" fillId="0" borderId="1" xfId="0" applyFont="1" applyFill="1" applyBorder="1" applyAlignment="1">
      <alignment horizontal="center"/>
    </xf>
    <xf numFmtId="0" fontId="25" fillId="8" borderId="24" xfId="0" applyFont="1" applyFill="1" applyBorder="1" applyAlignment="1">
      <alignment horizontal="center"/>
    </xf>
    <xf numFmtId="0" fontId="25" fillId="8" borderId="1" xfId="0" applyFont="1" applyFill="1" applyBorder="1" applyAlignment="1">
      <alignment horizontal="center" wrapText="1"/>
    </xf>
    <xf numFmtId="0" fontId="20" fillId="6" borderId="22" xfId="0" applyFont="1" applyFill="1" applyBorder="1" applyAlignment="1">
      <alignment/>
    </xf>
    <xf numFmtId="0" fontId="0" fillId="0" borderId="1" xfId="0" applyBorder="1" applyAlignment="1">
      <alignment horizontal="left" vertical="center" wrapText="1"/>
    </xf>
    <xf numFmtId="0" fontId="12" fillId="0" borderId="0" xfId="0" applyFont="1" applyAlignment="1">
      <alignment horizontal="center" vertical="top"/>
    </xf>
    <xf numFmtId="0" fontId="12" fillId="0" borderId="0" xfId="0" applyFont="1" applyAlignment="1">
      <alignment vertical="top"/>
    </xf>
    <xf numFmtId="0" fontId="13" fillId="0" borderId="0" xfId="0" applyFont="1" applyAlignment="1">
      <alignment horizontal="left" vertical="top" wrapText="1"/>
    </xf>
    <xf numFmtId="0" fontId="0" fillId="0" borderId="6" xfId="0" applyFont="1" applyBorder="1" applyAlignment="1">
      <alignment horizontal="left" vertical="top"/>
    </xf>
    <xf numFmtId="0" fontId="0" fillId="0" borderId="6" xfId="0" applyFont="1" applyBorder="1" applyAlignment="1">
      <alignment horizontal="center" vertical="top"/>
    </xf>
    <xf numFmtId="0" fontId="6" fillId="0" borderId="0" xfId="0" applyFont="1" applyAlignment="1">
      <alignment horizontal="left"/>
    </xf>
    <xf numFmtId="0" fontId="14" fillId="0" borderId="0" xfId="0" applyFont="1" applyAlignment="1">
      <alignment horizontal="left"/>
    </xf>
    <xf numFmtId="0" fontId="0" fillId="0" borderId="0" xfId="0" applyFont="1" applyAlignment="1">
      <alignment vertical="top"/>
    </xf>
    <xf numFmtId="0" fontId="6" fillId="0" borderId="0" xfId="0" applyFont="1" applyFill="1" applyAlignment="1">
      <alignment vertical="top"/>
    </xf>
    <xf numFmtId="0" fontId="15" fillId="0" borderId="0" xfId="0" applyFont="1" applyAlignment="1">
      <alignment horizontal="left"/>
    </xf>
    <xf numFmtId="0" fontId="0" fillId="0" borderId="0" xfId="0" applyFont="1" applyAlignment="1">
      <alignment wrapText="1"/>
    </xf>
    <xf numFmtId="0" fontId="0" fillId="0" borderId="0" xfId="0" applyFont="1" applyAlignment="1">
      <alignment vertical="top" wrapText="1"/>
    </xf>
    <xf numFmtId="0" fontId="6" fillId="0" borderId="0" xfId="0" applyFont="1" applyAlignment="1">
      <alignment vertical="top" wrapText="1"/>
    </xf>
    <xf numFmtId="0" fontId="0" fillId="0" borderId="0" xfId="0" applyFont="1" applyAlignment="1">
      <alignment horizontal="left" vertical="top"/>
    </xf>
    <xf numFmtId="0" fontId="14" fillId="0" borderId="0" xfId="0" applyFont="1" applyAlignment="1">
      <alignment wrapText="1"/>
    </xf>
    <xf numFmtId="0" fontId="0" fillId="0" borderId="0" xfId="0" applyFont="1" applyAlignment="1">
      <alignment horizontal="left" wrapText="1"/>
    </xf>
    <xf numFmtId="0" fontId="0" fillId="0" borderId="0" xfId="0" applyFill="1" applyBorder="1" applyAlignment="1">
      <alignment wrapText="1"/>
    </xf>
    <xf numFmtId="10" fontId="0" fillId="2" borderId="1" xfId="21" applyNumberFormat="1" applyFill="1" applyBorder="1" applyAlignment="1">
      <alignment/>
    </xf>
    <xf numFmtId="9" fontId="0" fillId="0" borderId="0" xfId="0" applyNumberFormat="1" applyAlignment="1">
      <alignment/>
    </xf>
    <xf numFmtId="0" fontId="0" fillId="0" borderId="0" xfId="0" applyFont="1" applyBorder="1" applyAlignment="1">
      <alignment/>
    </xf>
    <xf numFmtId="0" fontId="0" fillId="0" borderId="0" xfId="0" applyFont="1" applyAlignment="1">
      <alignment/>
    </xf>
    <xf numFmtId="0" fontId="0" fillId="0" borderId="0" xfId="0" applyFont="1" applyFill="1" applyBorder="1" applyAlignment="1">
      <alignment/>
    </xf>
    <xf numFmtId="43" fontId="0" fillId="0" borderId="0" xfId="0" applyNumberFormat="1" applyFont="1" applyBorder="1" applyAlignment="1">
      <alignment/>
    </xf>
    <xf numFmtId="0" fontId="0" fillId="0" borderId="0" xfId="0" applyFont="1" applyBorder="1" applyAlignment="1" applyProtection="1">
      <alignment/>
      <protection/>
    </xf>
    <xf numFmtId="3" fontId="11" fillId="0" borderId="1" xfId="0" applyNumberFormat="1" applyFont="1" applyFill="1" applyBorder="1" applyAlignment="1" applyProtection="1">
      <alignment horizontal="center"/>
      <protection locked="0"/>
    </xf>
    <xf numFmtId="166" fontId="11" fillId="0" borderId="1" xfId="0" applyNumberFormat="1" applyFont="1" applyFill="1" applyBorder="1" applyAlignment="1" applyProtection="1">
      <alignment horizontal="center" vertical="center"/>
      <protection locked="0"/>
    </xf>
    <xf numFmtId="3" fontId="11" fillId="0" borderId="1" xfId="0" applyNumberFormat="1" applyFont="1" applyFill="1" applyBorder="1" applyAlignment="1" applyProtection="1">
      <alignment horizontal="center"/>
      <protection locked="0"/>
    </xf>
    <xf numFmtId="9" fontId="11" fillId="0" borderId="1" xfId="0" applyNumberFormat="1" applyFont="1" applyFill="1" applyBorder="1" applyAlignment="1" applyProtection="1">
      <alignment horizontal="center"/>
      <protection locked="0"/>
    </xf>
    <xf numFmtId="1" fontId="11" fillId="0" borderId="1" xfId="0" applyNumberFormat="1"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3" fontId="19" fillId="6" borderId="1" xfId="0"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9" fontId="11" fillId="0" borderId="1" xfId="21" applyFont="1" applyFill="1" applyBorder="1" applyAlignment="1">
      <alignment horizontal="center"/>
    </xf>
    <xf numFmtId="166" fontId="11" fillId="0" borderId="1" xfId="0" applyNumberFormat="1" applyFont="1" applyFill="1" applyBorder="1" applyAlignment="1">
      <alignment horizontal="center"/>
    </xf>
    <xf numFmtId="3" fontId="11" fillId="0" borderId="1" xfId="0" applyNumberFormat="1" applyFont="1" applyFill="1" applyBorder="1" applyAlignment="1">
      <alignment horizontal="center"/>
    </xf>
    <xf numFmtId="3" fontId="11" fillId="0" borderId="1" xfId="0" applyNumberFormat="1" applyFont="1" applyFill="1" applyBorder="1" applyAlignment="1">
      <alignment horizontal="center"/>
    </xf>
    <xf numFmtId="3" fontId="10" fillId="6" borderId="20" xfId="0" applyNumberFormat="1" applyFont="1" applyFill="1" applyBorder="1" applyAlignment="1">
      <alignment horizontal="left" vertical="center" wrapText="1"/>
    </xf>
    <xf numFmtId="0" fontId="0" fillId="6" borderId="22" xfId="0" applyFill="1" applyBorder="1" applyAlignment="1">
      <alignment horizontal="center" wrapText="1"/>
    </xf>
    <xf numFmtId="0" fontId="19" fillId="7" borderId="20" xfId="0" applyFont="1" applyFill="1" applyBorder="1" applyAlignment="1">
      <alignment horizontal="left"/>
    </xf>
    <xf numFmtId="3" fontId="10" fillId="6" borderId="22" xfId="0" applyNumberFormat="1" applyFont="1" applyFill="1" applyBorder="1" applyAlignment="1">
      <alignment horizontal="left" vertical="center" wrapText="1"/>
    </xf>
    <xf numFmtId="3" fontId="10" fillId="6" borderId="21" xfId="0" applyNumberFormat="1" applyFont="1" applyFill="1" applyBorder="1" applyAlignment="1">
      <alignment horizontal="left" vertical="center" wrapText="1"/>
    </xf>
    <xf numFmtId="0" fontId="16" fillId="0" borderId="0" xfId="0" applyFont="1" applyBorder="1" applyAlignment="1" applyProtection="1">
      <alignment/>
      <protection locked="0"/>
    </xf>
    <xf numFmtId="0" fontId="0" fillId="0" borderId="20"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3" fontId="20" fillId="0" borderId="22" xfId="0" applyNumberFormat="1" applyFont="1" applyFill="1" applyBorder="1" applyAlignment="1" applyProtection="1">
      <alignment horizontal="left" vertical="center"/>
      <protection/>
    </xf>
    <xf numFmtId="3" fontId="20" fillId="0" borderId="21" xfId="0" applyNumberFormat="1" applyFont="1" applyFill="1" applyBorder="1" applyAlignment="1" applyProtection="1">
      <alignment horizontal="left" vertical="center"/>
      <protection/>
    </xf>
    <xf numFmtId="3" fontId="20" fillId="0" borderId="20" xfId="0" applyNumberFormat="1" applyFont="1" applyFill="1" applyBorder="1" applyAlignment="1" applyProtection="1">
      <alignment horizontal="left" vertical="center"/>
      <protection/>
    </xf>
    <xf numFmtId="175" fontId="20" fillId="0" borderId="22" xfId="0" applyNumberFormat="1" applyFont="1" applyFill="1" applyBorder="1" applyAlignment="1" applyProtection="1">
      <alignment horizontal="center" vertical="center" wrapText="1"/>
      <protection/>
    </xf>
    <xf numFmtId="175" fontId="20" fillId="0" borderId="21" xfId="0" applyNumberFormat="1" applyFont="1" applyFill="1" applyBorder="1" applyAlignment="1" applyProtection="1">
      <alignment horizontal="center" vertical="center" wrapText="1"/>
      <protection/>
    </xf>
    <xf numFmtId="0" fontId="0" fillId="6" borderId="22" xfId="0" applyFill="1" applyBorder="1" applyAlignment="1">
      <alignment horizontal="center"/>
    </xf>
    <xf numFmtId="0" fontId="0" fillId="6" borderId="21" xfId="0" applyFill="1" applyBorder="1" applyAlignment="1">
      <alignment horizontal="center"/>
    </xf>
    <xf numFmtId="0" fontId="0" fillId="6" borderId="20" xfId="0" applyFill="1" applyBorder="1" applyAlignment="1">
      <alignment horizontal="center"/>
    </xf>
    <xf numFmtId="170" fontId="19" fillId="7" borderId="22" xfId="0" applyNumberFormat="1" applyFont="1" applyFill="1" applyBorder="1" applyAlignment="1">
      <alignment horizontal="center"/>
    </xf>
    <xf numFmtId="170" fontId="19" fillId="7" borderId="20" xfId="0" applyNumberFormat="1" applyFont="1" applyFill="1" applyBorder="1" applyAlignment="1">
      <alignment horizontal="center"/>
    </xf>
    <xf numFmtId="3" fontId="20" fillId="0" borderId="22" xfId="0" applyNumberFormat="1" applyFont="1" applyFill="1" applyBorder="1" applyAlignment="1" applyProtection="1">
      <alignment horizontal="center" vertical="center" wrapText="1"/>
      <protection/>
    </xf>
    <xf numFmtId="3" fontId="20" fillId="0" borderId="20" xfId="0" applyNumberFormat="1" applyFont="1" applyFill="1" applyBorder="1" applyAlignment="1" applyProtection="1">
      <alignment horizontal="center" vertical="center" wrapText="1"/>
      <protection/>
    </xf>
    <xf numFmtId="3" fontId="19" fillId="0" borderId="22" xfId="0" applyNumberFormat="1" applyFont="1" applyFill="1" applyBorder="1" applyAlignment="1" applyProtection="1">
      <alignment horizontal="left" vertical="center"/>
      <protection/>
    </xf>
    <xf numFmtId="3" fontId="19" fillId="0" borderId="21" xfId="0" applyNumberFormat="1" applyFont="1" applyFill="1" applyBorder="1" applyAlignment="1" applyProtection="1">
      <alignment horizontal="left" vertical="center"/>
      <protection/>
    </xf>
    <xf numFmtId="3" fontId="19" fillId="0" borderId="20" xfId="0" applyNumberFormat="1" applyFont="1" applyFill="1" applyBorder="1" applyAlignment="1" applyProtection="1">
      <alignment horizontal="left" vertical="center"/>
      <protection/>
    </xf>
    <xf numFmtId="0" fontId="11" fillId="0" borderId="21" xfId="0" applyFont="1" applyFill="1" applyBorder="1" applyAlignment="1">
      <alignment horizontal="center" vertical="center"/>
    </xf>
    <xf numFmtId="170" fontId="19" fillId="7" borderId="22" xfId="0" applyNumberFormat="1" applyFont="1" applyFill="1" applyBorder="1" applyAlignment="1">
      <alignment horizontal="center" vertical="center"/>
    </xf>
    <xf numFmtId="170" fontId="19" fillId="7" borderId="20" xfId="0" applyNumberFormat="1" applyFont="1" applyFill="1" applyBorder="1" applyAlignment="1">
      <alignment horizontal="center" vertical="center"/>
    </xf>
    <xf numFmtId="3" fontId="19" fillId="7" borderId="22" xfId="0" applyNumberFormat="1" applyFont="1" applyFill="1" applyBorder="1" applyAlignment="1">
      <alignment horizontal="center" vertical="center"/>
    </xf>
    <xf numFmtId="3" fontId="19" fillId="7" borderId="20" xfId="0" applyNumberFormat="1" applyFont="1" applyFill="1" applyBorder="1" applyAlignment="1">
      <alignment horizontal="center" vertical="center"/>
    </xf>
    <xf numFmtId="0" fontId="19" fillId="7" borderId="22" xfId="0" applyFont="1" applyFill="1" applyBorder="1" applyAlignment="1">
      <alignment horizontal="left"/>
    </xf>
    <xf numFmtId="0" fontId="19" fillId="7" borderId="21" xfId="0" applyFont="1" applyFill="1" applyBorder="1" applyAlignment="1">
      <alignment horizontal="left"/>
    </xf>
    <xf numFmtId="0" fontId="0" fillId="6" borderId="21" xfId="0" applyFill="1" applyBorder="1" applyAlignment="1">
      <alignment horizontal="center" wrapText="1"/>
    </xf>
    <xf numFmtId="0" fontId="0" fillId="6" borderId="20" xfId="0" applyFill="1" applyBorder="1" applyAlignment="1">
      <alignment horizontal="center" wrapText="1"/>
    </xf>
    <xf numFmtId="3" fontId="10" fillId="6" borderId="22" xfId="0" applyNumberFormat="1" applyFont="1" applyFill="1" applyBorder="1" applyAlignment="1">
      <alignment horizontal="left" vertical="center"/>
    </xf>
    <xf numFmtId="3" fontId="10" fillId="6" borderId="21" xfId="0" applyNumberFormat="1" applyFont="1" applyFill="1" applyBorder="1" applyAlignment="1">
      <alignment horizontal="left" vertical="center"/>
    </xf>
    <xf numFmtId="3" fontId="10" fillId="6" borderId="20" xfId="0" applyNumberFormat="1" applyFont="1" applyFill="1" applyBorder="1" applyAlignment="1">
      <alignment horizontal="left" vertical="center"/>
    </xf>
    <xf numFmtId="3" fontId="19" fillId="7" borderId="21" xfId="0" applyNumberFormat="1" applyFont="1" applyFill="1" applyBorder="1" applyAlignment="1">
      <alignment horizontal="center" vertical="center"/>
    </xf>
    <xf numFmtId="10" fontId="19" fillId="7" borderId="22" xfId="0" applyNumberFormat="1" applyFont="1" applyFill="1" applyBorder="1" applyAlignment="1">
      <alignment horizontal="center" vertical="center"/>
    </xf>
    <xf numFmtId="10" fontId="19" fillId="7" borderId="20" xfId="0" applyNumberFormat="1" applyFont="1" applyFill="1" applyBorder="1" applyAlignment="1">
      <alignment horizontal="center" vertical="center"/>
    </xf>
    <xf numFmtId="0" fontId="19" fillId="7" borderId="1" xfId="0" applyFont="1" applyFill="1" applyBorder="1" applyAlignment="1">
      <alignment horizontal="left" vertical="center"/>
    </xf>
    <xf numFmtId="0" fontId="19" fillId="0" borderId="1" xfId="0" applyFont="1" applyFill="1" applyBorder="1" applyAlignment="1">
      <alignment horizontal="left" vertical="center"/>
    </xf>
    <xf numFmtId="0" fontId="20" fillId="0" borderId="1" xfId="0" applyFont="1" applyFill="1" applyBorder="1" applyAlignment="1">
      <alignment horizontal="center" vertical="center"/>
    </xf>
    <xf numFmtId="0" fontId="19" fillId="0" borderId="1" xfId="0" applyFont="1" applyFill="1" applyBorder="1" applyAlignment="1">
      <alignment horizontal="left" vertical="top" wrapText="1"/>
    </xf>
    <xf numFmtId="0" fontId="19" fillId="0" borderId="1" xfId="0" applyFont="1" applyFill="1" applyBorder="1" applyAlignment="1">
      <alignment horizontal="left"/>
    </xf>
    <xf numFmtId="0" fontId="19" fillId="7" borderId="1" xfId="0" applyFont="1" applyFill="1" applyBorder="1" applyAlignment="1">
      <alignment horizontal="left" wrapText="1"/>
    </xf>
    <xf numFmtId="0" fontId="19" fillId="7" borderId="1" xfId="0" applyFont="1" applyFill="1" applyBorder="1" applyAlignment="1">
      <alignment horizontal="left" vertical="center" wrapText="1"/>
    </xf>
    <xf numFmtId="3" fontId="10" fillId="8" borderId="13" xfId="0" applyNumberFormat="1" applyFont="1" applyFill="1" applyBorder="1" applyAlignment="1">
      <alignment horizontal="center" vertical="center" wrapText="1"/>
    </xf>
    <xf numFmtId="3" fontId="10" fillId="8" borderId="14" xfId="0" applyNumberFormat="1" applyFont="1" applyFill="1" applyBorder="1" applyAlignment="1">
      <alignment horizontal="center" vertical="center" wrapText="1"/>
    </xf>
    <xf numFmtId="3" fontId="10" fillId="6" borderId="22" xfId="0" applyNumberFormat="1" applyFont="1" applyFill="1" applyBorder="1" applyAlignment="1">
      <alignment horizontal="left" vertical="center" wrapText="1"/>
    </xf>
    <xf numFmtId="3" fontId="10" fillId="6" borderId="21" xfId="0" applyNumberFormat="1" applyFont="1" applyFill="1" applyBorder="1" applyAlignment="1">
      <alignment horizontal="left" vertical="center" wrapText="1"/>
    </xf>
    <xf numFmtId="3" fontId="10" fillId="6" borderId="20" xfId="0" applyNumberFormat="1" applyFont="1" applyFill="1" applyBorder="1" applyAlignment="1">
      <alignment horizontal="left" vertical="center" wrapText="1"/>
    </xf>
    <xf numFmtId="0" fontId="11" fillId="0" borderId="1" xfId="0" applyFont="1" applyFill="1" applyBorder="1" applyAlignment="1">
      <alignment horizontal="left" vertical="center"/>
    </xf>
    <xf numFmtId="0" fontId="19" fillId="0" borderId="1" xfId="0" applyFont="1" applyFill="1" applyBorder="1" applyAlignment="1">
      <alignment horizontal="left" wrapText="1"/>
    </xf>
    <xf numFmtId="0" fontId="19" fillId="0" borderId="22"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1" fillId="0" borderId="22" xfId="0" applyFont="1" applyFill="1" applyBorder="1" applyAlignment="1">
      <alignment horizontal="center" vertical="center"/>
    </xf>
    <xf numFmtId="0" fontId="11" fillId="0" borderId="20" xfId="0" applyFont="1" applyFill="1" applyBorder="1" applyAlignment="1">
      <alignment horizontal="center" vertical="center"/>
    </xf>
    <xf numFmtId="0" fontId="10" fillId="6" borderId="1" xfId="0" applyFont="1" applyFill="1" applyBorder="1" applyAlignment="1">
      <alignment horizontal="left"/>
    </xf>
    <xf numFmtId="3" fontId="10" fillId="6" borderId="1" xfId="0" applyNumberFormat="1" applyFont="1" applyFill="1" applyBorder="1" applyAlignment="1" applyProtection="1">
      <alignment horizontal="left" vertical="center"/>
      <protection/>
    </xf>
    <xf numFmtId="0" fontId="18" fillId="6" borderId="1" xfId="0" applyFont="1" applyFill="1" applyBorder="1" applyAlignment="1" applyProtection="1">
      <alignment horizontal="left"/>
      <protection/>
    </xf>
    <xf numFmtId="3" fontId="11" fillId="0" borderId="1" xfId="21" applyNumberFormat="1" applyFont="1" applyFill="1" applyBorder="1" applyAlignment="1" applyProtection="1">
      <alignment horizontal="center" vertical="center"/>
      <protection locked="0"/>
    </xf>
    <xf numFmtId="0" fontId="0" fillId="0" borderId="1" xfId="0" applyBorder="1" applyAlignment="1">
      <alignment horizontal="left" vertical="center"/>
    </xf>
    <xf numFmtId="3" fontId="10" fillId="6" borderId="1" xfId="0" applyNumberFormat="1" applyFont="1" applyFill="1" applyBorder="1" applyAlignment="1">
      <alignment horizontal="left" vertical="center" wrapText="1"/>
    </xf>
    <xf numFmtId="3" fontId="0" fillId="0" borderId="1" xfId="0" applyNumberFormat="1" applyFont="1" applyFill="1" applyBorder="1" applyAlignment="1" applyProtection="1">
      <alignment horizontal="left" vertical="center" wrapText="1"/>
      <protection/>
    </xf>
    <xf numFmtId="0" fontId="11" fillId="0" borderId="1" xfId="0" applyFont="1" applyBorder="1" applyAlignment="1" applyProtection="1">
      <alignment horizontal="center" vertical="center" wrapText="1"/>
      <protection locked="0"/>
    </xf>
    <xf numFmtId="0" fontId="19" fillId="0" borderId="22" xfId="0" applyFont="1" applyFill="1" applyBorder="1" applyAlignment="1">
      <alignment horizontal="right"/>
    </xf>
    <xf numFmtId="0" fontId="19" fillId="0" borderId="21" xfId="0" applyFont="1" applyFill="1" applyBorder="1" applyAlignment="1">
      <alignment horizontal="right"/>
    </xf>
    <xf numFmtId="0" fontId="19" fillId="0" borderId="20" xfId="0" applyFont="1" applyFill="1" applyBorder="1" applyAlignment="1">
      <alignment horizontal="right"/>
    </xf>
    <xf numFmtId="0" fontId="10" fillId="6" borderId="10" xfId="0" applyFont="1" applyFill="1" applyBorder="1" applyAlignment="1">
      <alignment horizontal="left" wrapText="1"/>
    </xf>
    <xf numFmtId="0" fontId="10" fillId="6" borderId="27" xfId="0" applyFont="1" applyFill="1" applyBorder="1" applyAlignment="1">
      <alignment horizontal="left" wrapText="1"/>
    </xf>
    <xf numFmtId="3" fontId="10" fillId="8" borderId="28" xfId="0" applyNumberFormat="1" applyFont="1" applyFill="1" applyBorder="1" applyAlignment="1">
      <alignment horizontal="center" vertical="center" wrapText="1"/>
    </xf>
    <xf numFmtId="3" fontId="10" fillId="6" borderId="1" xfId="0" applyNumberFormat="1" applyFont="1" applyFill="1" applyBorder="1" applyAlignment="1" applyProtection="1">
      <alignment horizontal="left" vertical="center" wrapText="1"/>
      <protection/>
    </xf>
    <xf numFmtId="0" fontId="19" fillId="0" borderId="1" xfId="0" applyFont="1" applyFill="1" applyBorder="1" applyAlignment="1">
      <alignment horizontal="left" vertical="center"/>
    </xf>
    <xf numFmtId="0" fontId="0" fillId="0" borderId="3" xfId="0" applyBorder="1" applyAlignment="1">
      <alignment horizontal="left" wrapText="1"/>
    </xf>
    <xf numFmtId="0" fontId="0" fillId="0" borderId="0" xfId="0" applyBorder="1" applyAlignment="1">
      <alignment horizontal="left" wrapText="1"/>
    </xf>
    <xf numFmtId="0" fontId="6"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19" fillId="7" borderId="22" xfId="0" applyFont="1" applyFill="1" applyBorder="1" applyAlignment="1">
      <alignment horizontal="left" vertical="center" wrapText="1"/>
    </xf>
    <xf numFmtId="0" fontId="19" fillId="7" borderId="21" xfId="0" applyFont="1" applyFill="1" applyBorder="1" applyAlignment="1">
      <alignment horizontal="left" vertical="center" wrapText="1"/>
    </xf>
    <xf numFmtId="0" fontId="19" fillId="7" borderId="20" xfId="0" applyFont="1" applyFill="1" applyBorder="1" applyAlignment="1">
      <alignment horizontal="left" vertical="center" wrapText="1"/>
    </xf>
    <xf numFmtId="0" fontId="19" fillId="7" borderId="1" xfId="0" applyFont="1" applyFill="1" applyBorder="1" applyAlignment="1">
      <alignment horizontal="left"/>
    </xf>
    <xf numFmtId="3" fontId="10" fillId="6" borderId="29" xfId="0" applyNumberFormat="1" applyFont="1" applyFill="1" applyBorder="1" applyAlignment="1" applyProtection="1">
      <alignment horizontal="left" vertical="center"/>
      <protection/>
    </xf>
    <xf numFmtId="3" fontId="10" fillId="6" borderId="30" xfId="0" applyNumberFormat="1" applyFont="1" applyFill="1" applyBorder="1" applyAlignment="1" applyProtection="1">
      <alignment horizontal="left" vertical="center"/>
      <protection/>
    </xf>
    <xf numFmtId="0" fontId="19" fillId="0" borderId="22" xfId="0" applyFont="1" applyFill="1" applyBorder="1" applyAlignment="1">
      <alignment horizontal="left" vertical="center"/>
    </xf>
    <xf numFmtId="0" fontId="19" fillId="0" borderId="21" xfId="0" applyFont="1" applyFill="1" applyBorder="1" applyAlignment="1">
      <alignment horizontal="left" vertical="center"/>
    </xf>
    <xf numFmtId="0" fontId="19" fillId="0" borderId="20" xfId="0" applyFont="1" applyFill="1" applyBorder="1" applyAlignment="1">
      <alignment horizontal="left" vertical="center"/>
    </xf>
    <xf numFmtId="0" fontId="0" fillId="0" borderId="0" xfId="0" applyFont="1" applyAlignment="1">
      <alignment horizontal="left" wrapText="1"/>
    </xf>
    <xf numFmtId="0" fontId="14" fillId="0" borderId="0" xfId="0" applyFont="1" applyAlignment="1">
      <alignment horizontal="left" wrapText="1"/>
    </xf>
    <xf numFmtId="0" fontId="0" fillId="0" borderId="0" xfId="0" applyFont="1" applyAlignment="1">
      <alignment wrapText="1"/>
    </xf>
    <xf numFmtId="0" fontId="6" fillId="0" borderId="0" xfId="0" applyFont="1" applyAlignment="1">
      <alignment horizontal="left" vertical="top" wrapText="1"/>
    </xf>
    <xf numFmtId="0" fontId="6" fillId="0" borderId="0" xfId="0" applyFont="1" applyAlignment="1">
      <alignment vertical="top"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0" xfId="0" applyFill="1" applyBorder="1" applyAlignment="1">
      <alignment horizontal="left" wrapText="1"/>
    </xf>
    <xf numFmtId="0" fontId="0" fillId="0" borderId="0" xfId="0" applyFont="1" applyAlignment="1">
      <alignment horizontal="left" vertical="top" wrapText="1"/>
    </xf>
    <xf numFmtId="0" fontId="0" fillId="0" borderId="6"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000000"/>
      </font>
      <fill>
        <patternFill>
          <bgColor rgb="FFC0C0C0"/>
        </patternFill>
      </fill>
      <border/>
    </dxf>
    <dxf>
      <font>
        <color rgb="FF0000FF"/>
      </font>
      <fill>
        <patternFill patternType="none">
          <bgColor indexed="65"/>
        </patternFill>
      </fill>
      <border/>
    </dxf>
    <dxf>
      <font>
        <b/>
        <i val="0"/>
        <color rgb="FFFF0000"/>
      </font>
      <fill>
        <patternFill>
          <bgColor rgb="FFFFFF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5.emf" /><Relationship Id="rId3" Type="http://schemas.openxmlformats.org/officeDocument/2006/relationships/image" Target="../media/image11.emf" /><Relationship Id="rId4" Type="http://schemas.openxmlformats.org/officeDocument/2006/relationships/image" Target="../media/image7.emf" /><Relationship Id="rId5" Type="http://schemas.openxmlformats.org/officeDocument/2006/relationships/image" Target="../media/image1.png" /><Relationship Id="rId6" Type="http://schemas.openxmlformats.org/officeDocument/2006/relationships/image" Target="../media/image10.emf" /><Relationship Id="rId7" Type="http://schemas.openxmlformats.org/officeDocument/2006/relationships/image" Target="../media/image4.emf" /><Relationship Id="rId8" Type="http://schemas.openxmlformats.org/officeDocument/2006/relationships/image" Target="../media/image9.emf" /><Relationship Id="rId9" Type="http://schemas.openxmlformats.org/officeDocument/2006/relationships/image" Target="../media/image8.emf" /></Relationships>
</file>

<file path=xl/drawings/_rels/drawing2.xml.rels><?xml version="1.0" encoding="utf-8" standalone="yes"?><Relationships xmlns="http://schemas.openxmlformats.org/package/2006/relationships"><Relationship Id="rId1" Type="http://schemas.openxmlformats.org/officeDocument/2006/relationships/image" Target="../media/image12.emf" /><Relationship Id="rId2" Type="http://schemas.openxmlformats.org/officeDocument/2006/relationships/image" Target="../media/image13.emf" /><Relationship Id="rId3" Type="http://schemas.openxmlformats.org/officeDocument/2006/relationships/image" Target="../media/image2.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40</xdr:row>
      <xdr:rowOff>28575</xdr:rowOff>
    </xdr:from>
    <xdr:to>
      <xdr:col>6</xdr:col>
      <xdr:colOff>1152525</xdr:colOff>
      <xdr:row>41</xdr:row>
      <xdr:rowOff>28575</xdr:rowOff>
    </xdr:to>
    <xdr:pic>
      <xdr:nvPicPr>
        <xdr:cNvPr id="1" name="RTOCaseA"/>
        <xdr:cNvPicPr preferRelativeResize="1">
          <a:picLocks noChangeAspect="1"/>
        </xdr:cNvPicPr>
      </xdr:nvPicPr>
      <xdr:blipFill>
        <a:blip r:embed="rId1"/>
        <a:stretch>
          <a:fillRect/>
        </a:stretch>
      </xdr:blipFill>
      <xdr:spPr>
        <a:xfrm>
          <a:off x="438150" y="9020175"/>
          <a:ext cx="6877050" cy="247650"/>
        </a:xfrm>
        <a:prstGeom prst="rect">
          <a:avLst/>
        </a:prstGeom>
        <a:noFill/>
        <a:ln w="9525" cmpd="sng">
          <a:noFill/>
        </a:ln>
      </xdr:spPr>
    </xdr:pic>
    <xdr:clientData/>
  </xdr:twoCellAnchor>
  <xdr:twoCellAnchor editAs="oneCell">
    <xdr:from>
      <xdr:col>2</xdr:col>
      <xdr:colOff>19050</xdr:colOff>
      <xdr:row>41</xdr:row>
      <xdr:rowOff>19050</xdr:rowOff>
    </xdr:from>
    <xdr:to>
      <xdr:col>6</xdr:col>
      <xdr:colOff>962025</xdr:colOff>
      <xdr:row>42</xdr:row>
      <xdr:rowOff>28575</xdr:rowOff>
    </xdr:to>
    <xdr:pic>
      <xdr:nvPicPr>
        <xdr:cNvPr id="2" name="RTOCaseB"/>
        <xdr:cNvPicPr preferRelativeResize="1">
          <a:picLocks noChangeAspect="1"/>
        </xdr:cNvPicPr>
      </xdr:nvPicPr>
      <xdr:blipFill>
        <a:blip r:embed="rId2"/>
        <a:stretch>
          <a:fillRect/>
        </a:stretch>
      </xdr:blipFill>
      <xdr:spPr>
        <a:xfrm>
          <a:off x="447675" y="9258300"/>
          <a:ext cx="6677025" cy="257175"/>
        </a:xfrm>
        <a:prstGeom prst="rect">
          <a:avLst/>
        </a:prstGeom>
        <a:noFill/>
        <a:ln w="9525" cmpd="sng">
          <a:noFill/>
        </a:ln>
      </xdr:spPr>
    </xdr:pic>
    <xdr:clientData/>
  </xdr:twoCellAnchor>
  <xdr:twoCellAnchor editAs="oneCell">
    <xdr:from>
      <xdr:col>2</xdr:col>
      <xdr:colOff>19050</xdr:colOff>
      <xdr:row>42</xdr:row>
      <xdr:rowOff>9525</xdr:rowOff>
    </xdr:from>
    <xdr:to>
      <xdr:col>6</xdr:col>
      <xdr:colOff>1143000</xdr:colOff>
      <xdr:row>43</xdr:row>
      <xdr:rowOff>9525</xdr:rowOff>
    </xdr:to>
    <xdr:pic>
      <xdr:nvPicPr>
        <xdr:cNvPr id="3" name="RTOCaseC"/>
        <xdr:cNvPicPr preferRelativeResize="1">
          <a:picLocks noChangeAspect="1"/>
        </xdr:cNvPicPr>
      </xdr:nvPicPr>
      <xdr:blipFill>
        <a:blip r:embed="rId3"/>
        <a:stretch>
          <a:fillRect/>
        </a:stretch>
      </xdr:blipFill>
      <xdr:spPr>
        <a:xfrm>
          <a:off x="447675" y="9496425"/>
          <a:ext cx="6858000" cy="247650"/>
        </a:xfrm>
        <a:prstGeom prst="rect">
          <a:avLst/>
        </a:prstGeom>
        <a:noFill/>
        <a:ln w="9525" cmpd="sng">
          <a:noFill/>
        </a:ln>
      </xdr:spPr>
    </xdr:pic>
    <xdr:clientData/>
  </xdr:twoCellAnchor>
  <xdr:twoCellAnchor editAs="oneCell">
    <xdr:from>
      <xdr:col>2</xdr:col>
      <xdr:colOff>19050</xdr:colOff>
      <xdr:row>42</xdr:row>
      <xdr:rowOff>238125</xdr:rowOff>
    </xdr:from>
    <xdr:to>
      <xdr:col>6</xdr:col>
      <xdr:colOff>1238250</xdr:colOff>
      <xdr:row>44</xdr:row>
      <xdr:rowOff>38100</xdr:rowOff>
    </xdr:to>
    <xdr:pic>
      <xdr:nvPicPr>
        <xdr:cNvPr id="4" name="RTOCaseD"/>
        <xdr:cNvPicPr preferRelativeResize="1">
          <a:picLocks noChangeAspect="1"/>
        </xdr:cNvPicPr>
      </xdr:nvPicPr>
      <xdr:blipFill>
        <a:blip r:embed="rId4"/>
        <a:stretch>
          <a:fillRect/>
        </a:stretch>
      </xdr:blipFill>
      <xdr:spPr>
        <a:xfrm>
          <a:off x="447675" y="9725025"/>
          <a:ext cx="6953250" cy="295275"/>
        </a:xfrm>
        <a:prstGeom prst="rect">
          <a:avLst/>
        </a:prstGeom>
        <a:noFill/>
        <a:ln w="9525" cmpd="sng">
          <a:noFill/>
        </a:ln>
      </xdr:spPr>
    </xdr:pic>
    <xdr:clientData/>
  </xdr:twoCellAnchor>
  <xdr:twoCellAnchor editAs="oneCell">
    <xdr:from>
      <xdr:col>5</xdr:col>
      <xdr:colOff>1504950</xdr:colOff>
      <xdr:row>0</xdr:row>
      <xdr:rowOff>38100</xdr:rowOff>
    </xdr:from>
    <xdr:to>
      <xdr:col>7</xdr:col>
      <xdr:colOff>0</xdr:colOff>
      <xdr:row>1</xdr:row>
      <xdr:rowOff>381000</xdr:rowOff>
    </xdr:to>
    <xdr:pic>
      <xdr:nvPicPr>
        <xdr:cNvPr id="5" name="Picture 450"/>
        <xdr:cNvPicPr preferRelativeResize="1">
          <a:picLocks noChangeAspect="1"/>
        </xdr:cNvPicPr>
      </xdr:nvPicPr>
      <xdr:blipFill>
        <a:blip r:embed="rId5"/>
        <a:stretch>
          <a:fillRect/>
        </a:stretch>
      </xdr:blipFill>
      <xdr:spPr>
        <a:xfrm>
          <a:off x="6153150" y="38100"/>
          <a:ext cx="1495425" cy="971550"/>
        </a:xfrm>
        <a:prstGeom prst="rect">
          <a:avLst/>
        </a:prstGeom>
        <a:noFill/>
        <a:ln w="9525" cmpd="sng">
          <a:noFill/>
        </a:ln>
      </xdr:spPr>
    </xdr:pic>
    <xdr:clientData/>
  </xdr:twoCellAnchor>
  <xdr:twoCellAnchor editAs="oneCell">
    <xdr:from>
      <xdr:col>4</xdr:col>
      <xdr:colOff>57150</xdr:colOff>
      <xdr:row>11</xdr:row>
      <xdr:rowOff>76200</xdr:rowOff>
    </xdr:from>
    <xdr:to>
      <xdr:col>6</xdr:col>
      <xdr:colOff>47625</xdr:colOff>
      <xdr:row>11</xdr:row>
      <xdr:rowOff>314325</xdr:rowOff>
    </xdr:to>
    <xdr:pic>
      <xdr:nvPicPr>
        <xdr:cNvPr id="6" name="ComboBox1"/>
        <xdr:cNvPicPr preferRelativeResize="1">
          <a:picLocks noChangeAspect="1"/>
        </xdr:cNvPicPr>
      </xdr:nvPicPr>
      <xdr:blipFill>
        <a:blip r:embed="rId6"/>
        <a:stretch>
          <a:fillRect/>
        </a:stretch>
      </xdr:blipFill>
      <xdr:spPr>
        <a:xfrm>
          <a:off x="3190875" y="3276600"/>
          <a:ext cx="3019425" cy="238125"/>
        </a:xfrm>
        <a:prstGeom prst="rect">
          <a:avLst/>
        </a:prstGeom>
        <a:noFill/>
        <a:ln w="9525" cmpd="sng">
          <a:noFill/>
        </a:ln>
      </xdr:spPr>
    </xdr:pic>
    <xdr:clientData/>
  </xdr:twoCellAnchor>
  <xdr:twoCellAnchor editAs="oneCell">
    <xdr:from>
      <xdr:col>5</xdr:col>
      <xdr:colOff>419100</xdr:colOff>
      <xdr:row>35</xdr:row>
      <xdr:rowOff>57150</xdr:rowOff>
    </xdr:from>
    <xdr:to>
      <xdr:col>5</xdr:col>
      <xdr:colOff>1133475</xdr:colOff>
      <xdr:row>35</xdr:row>
      <xdr:rowOff>314325</xdr:rowOff>
    </xdr:to>
    <xdr:pic>
      <xdr:nvPicPr>
        <xdr:cNvPr id="7" name="ComboBox2"/>
        <xdr:cNvPicPr preferRelativeResize="1">
          <a:picLocks noChangeAspect="1"/>
        </xdr:cNvPicPr>
      </xdr:nvPicPr>
      <xdr:blipFill>
        <a:blip r:embed="rId7"/>
        <a:stretch>
          <a:fillRect/>
        </a:stretch>
      </xdr:blipFill>
      <xdr:spPr>
        <a:xfrm>
          <a:off x="5067300" y="7715250"/>
          <a:ext cx="714375" cy="257175"/>
        </a:xfrm>
        <a:prstGeom prst="rect">
          <a:avLst/>
        </a:prstGeom>
        <a:noFill/>
        <a:ln w="9525" cmpd="sng">
          <a:noFill/>
        </a:ln>
      </xdr:spPr>
    </xdr:pic>
    <xdr:clientData/>
  </xdr:twoCellAnchor>
  <xdr:twoCellAnchor editAs="oneCell">
    <xdr:from>
      <xdr:col>6</xdr:col>
      <xdr:colOff>352425</xdr:colOff>
      <xdr:row>35</xdr:row>
      <xdr:rowOff>66675</xdr:rowOff>
    </xdr:from>
    <xdr:to>
      <xdr:col>6</xdr:col>
      <xdr:colOff>1104900</xdr:colOff>
      <xdr:row>35</xdr:row>
      <xdr:rowOff>304800</xdr:rowOff>
    </xdr:to>
    <xdr:pic>
      <xdr:nvPicPr>
        <xdr:cNvPr id="8" name="ComboBox3"/>
        <xdr:cNvPicPr preferRelativeResize="1">
          <a:picLocks noChangeAspect="1"/>
        </xdr:cNvPicPr>
      </xdr:nvPicPr>
      <xdr:blipFill>
        <a:blip r:embed="rId8"/>
        <a:stretch>
          <a:fillRect/>
        </a:stretch>
      </xdr:blipFill>
      <xdr:spPr>
        <a:xfrm>
          <a:off x="6515100" y="7724775"/>
          <a:ext cx="752475" cy="238125"/>
        </a:xfrm>
        <a:prstGeom prst="rect">
          <a:avLst/>
        </a:prstGeom>
        <a:noFill/>
        <a:ln w="9525" cmpd="sng">
          <a:noFill/>
        </a:ln>
      </xdr:spPr>
    </xdr:pic>
    <xdr:clientData/>
  </xdr:twoCellAnchor>
  <xdr:twoCellAnchor editAs="oneCell">
    <xdr:from>
      <xdr:col>5</xdr:col>
      <xdr:colOff>257175</xdr:colOff>
      <xdr:row>37</xdr:row>
      <xdr:rowOff>28575</xdr:rowOff>
    </xdr:from>
    <xdr:to>
      <xdr:col>6</xdr:col>
      <xdr:colOff>1219200</xdr:colOff>
      <xdr:row>37</xdr:row>
      <xdr:rowOff>295275</xdr:rowOff>
    </xdr:to>
    <xdr:pic>
      <xdr:nvPicPr>
        <xdr:cNvPr id="9" name="ComboBox4"/>
        <xdr:cNvPicPr preferRelativeResize="1">
          <a:picLocks noChangeAspect="1"/>
        </xdr:cNvPicPr>
      </xdr:nvPicPr>
      <xdr:blipFill>
        <a:blip r:embed="rId9"/>
        <a:stretch>
          <a:fillRect/>
        </a:stretch>
      </xdr:blipFill>
      <xdr:spPr>
        <a:xfrm>
          <a:off x="4905375" y="8191500"/>
          <a:ext cx="2476500" cy="266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49</xdr:row>
      <xdr:rowOff>9525</xdr:rowOff>
    </xdr:from>
    <xdr:to>
      <xdr:col>4</xdr:col>
      <xdr:colOff>19050</xdr:colOff>
      <xdr:row>94</xdr:row>
      <xdr:rowOff>209550</xdr:rowOff>
    </xdr:to>
    <xdr:pic>
      <xdr:nvPicPr>
        <xdr:cNvPr id="1" name="Picture 7"/>
        <xdr:cNvPicPr preferRelativeResize="1">
          <a:picLocks noChangeAspect="1"/>
        </xdr:cNvPicPr>
      </xdr:nvPicPr>
      <xdr:blipFill>
        <a:blip r:embed="rId1"/>
        <a:stretch>
          <a:fillRect/>
        </a:stretch>
      </xdr:blipFill>
      <xdr:spPr>
        <a:xfrm>
          <a:off x="19050" y="19535775"/>
          <a:ext cx="6105525" cy="10058400"/>
        </a:xfrm>
        <a:prstGeom prst="rect">
          <a:avLst/>
        </a:prstGeom>
        <a:noFill/>
        <a:ln w="9525" cmpd="sng">
          <a:noFill/>
        </a:ln>
      </xdr:spPr>
    </xdr:pic>
    <xdr:clientData/>
  </xdr:twoCellAnchor>
  <xdr:twoCellAnchor>
    <xdr:from>
      <xdr:col>0</xdr:col>
      <xdr:colOff>47625</xdr:colOff>
      <xdr:row>107</xdr:row>
      <xdr:rowOff>38100</xdr:rowOff>
    </xdr:from>
    <xdr:to>
      <xdr:col>4</xdr:col>
      <xdr:colOff>38100</xdr:colOff>
      <xdr:row>154</xdr:row>
      <xdr:rowOff>190500</xdr:rowOff>
    </xdr:to>
    <xdr:pic>
      <xdr:nvPicPr>
        <xdr:cNvPr id="2" name="Picture 8"/>
        <xdr:cNvPicPr preferRelativeResize="1">
          <a:picLocks noChangeAspect="1"/>
        </xdr:cNvPicPr>
      </xdr:nvPicPr>
      <xdr:blipFill>
        <a:blip r:embed="rId2"/>
        <a:stretch>
          <a:fillRect/>
        </a:stretch>
      </xdr:blipFill>
      <xdr:spPr>
        <a:xfrm>
          <a:off x="47625" y="34318575"/>
          <a:ext cx="6096000" cy="10001250"/>
        </a:xfrm>
        <a:prstGeom prst="rect">
          <a:avLst/>
        </a:prstGeom>
        <a:noFill/>
        <a:ln w="9525" cmpd="sng">
          <a:noFill/>
        </a:ln>
      </xdr:spPr>
    </xdr:pic>
    <xdr:clientData/>
  </xdr:twoCellAnchor>
  <xdr:twoCellAnchor>
    <xdr:from>
      <xdr:col>0</xdr:col>
      <xdr:colOff>0</xdr:colOff>
      <xdr:row>167</xdr:row>
      <xdr:rowOff>152400</xdr:rowOff>
    </xdr:from>
    <xdr:to>
      <xdr:col>4</xdr:col>
      <xdr:colOff>9525</xdr:colOff>
      <xdr:row>216</xdr:row>
      <xdr:rowOff>142875</xdr:rowOff>
    </xdr:to>
    <xdr:pic>
      <xdr:nvPicPr>
        <xdr:cNvPr id="3" name="Picture 10"/>
        <xdr:cNvPicPr preferRelativeResize="1">
          <a:picLocks noChangeAspect="1"/>
        </xdr:cNvPicPr>
      </xdr:nvPicPr>
      <xdr:blipFill>
        <a:blip r:embed="rId3"/>
        <a:stretch>
          <a:fillRect/>
        </a:stretch>
      </xdr:blipFill>
      <xdr:spPr>
        <a:xfrm>
          <a:off x="0" y="48948975"/>
          <a:ext cx="6115050" cy="9324975"/>
        </a:xfrm>
        <a:prstGeom prst="rect">
          <a:avLst/>
        </a:prstGeom>
        <a:noFill/>
        <a:ln w="9525" cmpd="sng">
          <a:noFill/>
        </a:ln>
      </xdr:spPr>
    </xdr:pic>
    <xdr:clientData/>
  </xdr:twoCellAnchor>
  <xdr:twoCellAnchor>
    <xdr:from>
      <xdr:col>0</xdr:col>
      <xdr:colOff>0</xdr:colOff>
      <xdr:row>229</xdr:row>
      <xdr:rowOff>57150</xdr:rowOff>
    </xdr:from>
    <xdr:to>
      <xdr:col>4</xdr:col>
      <xdr:colOff>9525</xdr:colOff>
      <xdr:row>287</xdr:row>
      <xdr:rowOff>9525</xdr:rowOff>
    </xdr:to>
    <xdr:pic>
      <xdr:nvPicPr>
        <xdr:cNvPr id="4" name="Picture 11"/>
        <xdr:cNvPicPr preferRelativeResize="1">
          <a:picLocks noChangeAspect="1"/>
        </xdr:cNvPicPr>
      </xdr:nvPicPr>
      <xdr:blipFill>
        <a:blip r:embed="rId4"/>
        <a:stretch>
          <a:fillRect/>
        </a:stretch>
      </xdr:blipFill>
      <xdr:spPr>
        <a:xfrm>
          <a:off x="0" y="62455425"/>
          <a:ext cx="6115050" cy="9344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117"/>
  <sheetViews>
    <sheetView tabSelected="1" zoomScale="75" zoomScaleNormal="75" workbookViewId="0" topLeftCell="A42">
      <selection activeCell="K14" sqref="K14"/>
    </sheetView>
  </sheetViews>
  <sheetFormatPr defaultColWidth="9.140625" defaultRowHeight="12.75"/>
  <cols>
    <col min="1" max="1" width="1.7109375" style="0" customWidth="1"/>
    <col min="2" max="2" width="4.7109375" style="26" customWidth="1"/>
    <col min="3" max="3" width="17.00390625" style="8" customWidth="1"/>
    <col min="4" max="4" width="23.57421875" style="26" customWidth="1"/>
    <col min="5" max="5" width="22.7109375" style="0" customWidth="1"/>
    <col min="6" max="6" width="22.7109375" style="8" customWidth="1"/>
    <col min="7" max="7" width="22.28125" style="0" customWidth="1"/>
    <col min="8" max="8" width="24.7109375" style="0" customWidth="1"/>
    <col min="10" max="10" width="12.57421875" style="0" hidden="1" customWidth="1"/>
    <col min="12" max="12" width="13.7109375" style="0" bestFit="1" customWidth="1"/>
  </cols>
  <sheetData>
    <row r="1" spans="2:12" ht="49.5" customHeight="1">
      <c r="B1" s="47" t="s">
        <v>69</v>
      </c>
      <c r="C1" s="45"/>
      <c r="D1" s="46"/>
      <c r="E1" s="47"/>
      <c r="F1" s="48"/>
      <c r="G1" s="48"/>
      <c r="H1" s="48"/>
      <c r="I1" s="31"/>
      <c r="J1" s="31"/>
      <c r="K1" s="31"/>
      <c r="L1" s="31"/>
    </row>
    <row r="2" spans="2:12" ht="49.5" customHeight="1">
      <c r="B2" s="68" t="s">
        <v>70</v>
      </c>
      <c r="C2" s="45"/>
      <c r="D2" s="46"/>
      <c r="E2" s="31"/>
      <c r="F2" s="48"/>
      <c r="G2" s="48"/>
      <c r="H2" s="48"/>
      <c r="I2" s="31"/>
      <c r="J2" s="31"/>
      <c r="K2" s="31"/>
      <c r="L2" s="31"/>
    </row>
    <row r="3" spans="2:12" ht="15.75">
      <c r="B3" s="286" t="s">
        <v>71</v>
      </c>
      <c r="C3" s="286"/>
      <c r="D3" s="286"/>
      <c r="E3" s="286"/>
      <c r="F3" s="286"/>
      <c r="G3" s="70"/>
      <c r="H3" s="52" t="s">
        <v>77</v>
      </c>
      <c r="I3" s="31"/>
      <c r="J3" s="31"/>
      <c r="K3" s="31"/>
      <c r="L3" s="31"/>
    </row>
    <row r="4" spans="2:12" ht="29.25" customHeight="1">
      <c r="B4" s="278" t="s">
        <v>72</v>
      </c>
      <c r="C4" s="278"/>
      <c r="D4" s="278"/>
      <c r="E4" s="279"/>
      <c r="F4" s="279"/>
      <c r="G4" s="71"/>
      <c r="H4" s="54" t="s">
        <v>78</v>
      </c>
      <c r="I4" s="31"/>
      <c r="J4" s="31"/>
      <c r="K4" s="31"/>
      <c r="L4" s="31"/>
    </row>
    <row r="5" spans="2:12" ht="12.75">
      <c r="B5" s="278" t="s">
        <v>73</v>
      </c>
      <c r="C5" s="278"/>
      <c r="D5" s="278"/>
      <c r="E5" s="279"/>
      <c r="F5" s="279"/>
      <c r="G5" s="71"/>
      <c r="H5" s="53" t="str">
        <f>""""</f>
        <v>"</v>
      </c>
      <c r="I5" s="31"/>
      <c r="J5" s="31"/>
      <c r="K5" s="31"/>
      <c r="L5" s="31"/>
    </row>
    <row r="6" spans="2:12" ht="12.75">
      <c r="B6" s="278" t="s">
        <v>74</v>
      </c>
      <c r="C6" s="278"/>
      <c r="D6" s="278"/>
      <c r="E6" s="279"/>
      <c r="F6" s="279"/>
      <c r="G6" s="71"/>
      <c r="H6" s="53" t="str">
        <f>""""</f>
        <v>"</v>
      </c>
      <c r="I6" s="31"/>
      <c r="J6" s="31"/>
      <c r="K6" s="31"/>
      <c r="L6" s="31"/>
    </row>
    <row r="7" spans="2:12" ht="12.75">
      <c r="B7" s="278" t="s">
        <v>75</v>
      </c>
      <c r="C7" s="278"/>
      <c r="D7" s="278"/>
      <c r="E7" s="279"/>
      <c r="F7" s="279"/>
      <c r="G7" s="71"/>
      <c r="H7" s="53" t="str">
        <f>""""</f>
        <v>"</v>
      </c>
      <c r="I7" s="31"/>
      <c r="J7" s="31"/>
      <c r="K7" s="31"/>
      <c r="L7" s="31"/>
    </row>
    <row r="8" spans="2:12" ht="12.75">
      <c r="B8" s="278" t="s">
        <v>76</v>
      </c>
      <c r="C8" s="278"/>
      <c r="D8" s="278"/>
      <c r="E8" s="279"/>
      <c r="F8" s="279"/>
      <c r="G8" s="71"/>
      <c r="H8" s="53" t="str">
        <f>""""</f>
        <v>"</v>
      </c>
      <c r="I8" s="31"/>
      <c r="J8" s="31"/>
      <c r="K8" s="31"/>
      <c r="L8" s="31"/>
    </row>
    <row r="9" spans="2:13" ht="15.75">
      <c r="B9" s="273" t="s">
        <v>79</v>
      </c>
      <c r="C9" s="273"/>
      <c r="D9" s="274"/>
      <c r="E9" s="274"/>
      <c r="F9" s="274"/>
      <c r="G9" s="72"/>
      <c r="H9" s="73"/>
      <c r="I9" s="67"/>
      <c r="J9" s="66"/>
      <c r="K9" s="197"/>
      <c r="L9" s="197"/>
      <c r="M9" s="198"/>
    </row>
    <row r="10" spans="2:13" ht="25.5">
      <c r="B10" s="276" t="s">
        <v>80</v>
      </c>
      <c r="C10" s="276"/>
      <c r="D10" s="276"/>
      <c r="E10" s="275"/>
      <c r="F10" s="275"/>
      <c r="G10" s="164"/>
      <c r="H10" s="54" t="s">
        <v>141</v>
      </c>
      <c r="I10" s="199"/>
      <c r="J10" s="197"/>
      <c r="K10" s="197"/>
      <c r="L10" s="197"/>
      <c r="M10" s="198"/>
    </row>
    <row r="11" spans="2:13" ht="15.75">
      <c r="B11" s="277" t="s">
        <v>35</v>
      </c>
      <c r="C11" s="277"/>
      <c r="D11" s="277"/>
      <c r="E11" s="277"/>
      <c r="F11" s="277"/>
      <c r="G11" s="70"/>
      <c r="H11" s="70"/>
      <c r="I11" s="197"/>
      <c r="J11" s="197"/>
      <c r="K11" s="197"/>
      <c r="L11" s="197"/>
      <c r="M11" s="198"/>
    </row>
    <row r="12" spans="2:13" ht="30" customHeight="1">
      <c r="B12" s="267" t="s">
        <v>83</v>
      </c>
      <c r="C12" s="268"/>
      <c r="D12" s="269"/>
      <c r="E12" s="270" t="s">
        <v>81</v>
      </c>
      <c r="F12" s="271"/>
      <c r="G12" s="74"/>
      <c r="H12" s="164" t="s">
        <v>142</v>
      </c>
      <c r="I12" s="219" t="s">
        <v>38</v>
      </c>
      <c r="J12" s="197"/>
      <c r="K12" s="197"/>
      <c r="L12" s="197"/>
      <c r="M12" s="198"/>
    </row>
    <row r="13" spans="2:13" ht="12.75">
      <c r="B13" s="51"/>
      <c r="C13" s="280">
        <f>IF(E12=$I$16,CONCATENATE("Press 'Reset' after selecting '",I16,"'  ---&gt;"),"")</f>
      </c>
      <c r="D13" s="281"/>
      <c r="E13" s="281"/>
      <c r="F13" s="282"/>
      <c r="G13" s="173" t="s">
        <v>157</v>
      </c>
      <c r="H13" s="74" t="s">
        <v>143</v>
      </c>
      <c r="I13" s="219" t="s">
        <v>66</v>
      </c>
      <c r="J13" s="197"/>
      <c r="K13" s="197"/>
      <c r="L13" s="197"/>
      <c r="M13" s="198"/>
    </row>
    <row r="14" spans="2:13" ht="12.75">
      <c r="B14" s="36"/>
      <c r="C14" s="75"/>
      <c r="D14" s="36"/>
      <c r="E14" s="71"/>
      <c r="F14" s="75"/>
      <c r="G14" s="71"/>
      <c r="H14" s="71"/>
      <c r="I14" s="219" t="s">
        <v>57</v>
      </c>
      <c r="J14" s="197"/>
      <c r="K14" s="197"/>
      <c r="L14" s="197"/>
      <c r="M14" s="198"/>
    </row>
    <row r="15" spans="2:13" ht="15.75">
      <c r="B15" s="283" t="str">
        <f>IF(E12=$I$16,"8.  Chemical Name","Skip to Line 10")</f>
        <v>Skip to Line 10</v>
      </c>
      <c r="C15" s="284"/>
      <c r="D15" s="284"/>
      <c r="E15" s="171">
        <f>IF(E12=$I$16,"Flow (lb/yr)","")</f>
      </c>
      <c r="F15" s="272">
        <f>IF(E12=$I$16,"Energy Content (Btu/lb)","")</f>
      </c>
      <c r="G15" s="272"/>
      <c r="H15" s="172"/>
      <c r="I15" s="219" t="s">
        <v>56</v>
      </c>
      <c r="J15" s="197"/>
      <c r="K15" s="197"/>
      <c r="L15" s="197"/>
      <c r="M15" s="198"/>
    </row>
    <row r="16" spans="2:13" ht="12.75">
      <c r="B16" s="134"/>
      <c r="C16" s="265" t="s">
        <v>84</v>
      </c>
      <c r="D16" s="265"/>
      <c r="E16" s="202"/>
      <c r="F16" s="202"/>
      <c r="G16" s="70"/>
      <c r="H16" s="71" t="str">
        <f>IF($E$12=$I$16,"Enter chemical data","Skip to Line 10")</f>
        <v>Skip to Line 10</v>
      </c>
      <c r="I16" s="219" t="s">
        <v>113</v>
      </c>
      <c r="J16" s="197"/>
      <c r="K16" s="197"/>
      <c r="L16" s="197"/>
      <c r="M16" s="198"/>
    </row>
    <row r="17" spans="2:13" ht="12.75">
      <c r="B17" s="134"/>
      <c r="C17" s="265" t="s">
        <v>84</v>
      </c>
      <c r="D17" s="265"/>
      <c r="E17" s="202"/>
      <c r="F17" s="202"/>
      <c r="G17" s="70"/>
      <c r="H17" s="71" t="str">
        <f>IF($E$12=$I$16,"Enter chemical data","Skip to Line 10")</f>
        <v>Skip to Line 10</v>
      </c>
      <c r="I17" s="219" t="s">
        <v>81</v>
      </c>
      <c r="J17" s="197"/>
      <c r="K17" s="197"/>
      <c r="L17" s="197"/>
      <c r="M17" s="198"/>
    </row>
    <row r="18" spans="2:13" ht="12.75">
      <c r="B18" s="135"/>
      <c r="C18" s="265" t="s">
        <v>84</v>
      </c>
      <c r="D18" s="265"/>
      <c r="E18" s="202"/>
      <c r="F18" s="202"/>
      <c r="G18" s="70"/>
      <c r="H18" s="71" t="str">
        <f>IF($E$12=$I$16,"Enter chemical data","Skip to Line 10")</f>
        <v>Skip to Line 10</v>
      </c>
      <c r="I18" s="219" t="s">
        <v>82</v>
      </c>
      <c r="J18" s="197"/>
      <c r="K18" s="197"/>
      <c r="L18" s="197"/>
      <c r="M18" s="198"/>
    </row>
    <row r="19" spans="2:13" ht="12.75">
      <c r="B19" s="136"/>
      <c r="C19" s="265" t="s">
        <v>84</v>
      </c>
      <c r="D19" s="265"/>
      <c r="E19" s="202"/>
      <c r="F19" s="202"/>
      <c r="G19" s="70"/>
      <c r="H19" s="71" t="str">
        <f>IF($E$12=$I$16,"Enter chemical data","Skip to Line 10")</f>
        <v>Skip to Line 10</v>
      </c>
      <c r="I19" s="201"/>
      <c r="J19" s="197"/>
      <c r="K19" s="197"/>
      <c r="L19" s="197"/>
      <c r="M19" s="198"/>
    </row>
    <row r="20" spans="2:13" ht="12.75">
      <c r="B20" s="137"/>
      <c r="C20" s="265" t="s">
        <v>151</v>
      </c>
      <c r="D20" s="265"/>
      <c r="E20" s="202"/>
      <c r="F20" s="202"/>
      <c r="G20" s="70"/>
      <c r="H20" s="71" t="str">
        <f>IF($E$12=$I$16,"Enter chemical data","Skip to Line 10")</f>
        <v>Skip to Line 10</v>
      </c>
      <c r="I20" s="197"/>
      <c r="J20" s="197"/>
      <c r="K20" s="197"/>
      <c r="L20" s="200"/>
      <c r="M20" s="198"/>
    </row>
    <row r="21" spans="2:13" ht="12.75">
      <c r="B21" s="266" t="s">
        <v>85</v>
      </c>
      <c r="C21" s="266"/>
      <c r="D21" s="266"/>
      <c r="E21" s="210"/>
      <c r="F21" s="138"/>
      <c r="G21" s="70"/>
      <c r="H21" s="71" t="str">
        <f>IF($E$12=$I$16,"Enter data for VOC %","Skip to Line 10")</f>
        <v>Skip to Line 10</v>
      </c>
      <c r="I21" s="197"/>
      <c r="J21" s="197"/>
      <c r="K21" s="197"/>
      <c r="L21" s="197"/>
      <c r="M21" s="198"/>
    </row>
    <row r="22" spans="2:13" ht="12.75" customHeight="1">
      <c r="B22" s="266" t="s">
        <v>86</v>
      </c>
      <c r="C22" s="266"/>
      <c r="D22" s="266"/>
      <c r="E22" s="211"/>
      <c r="F22" s="139"/>
      <c r="G22" s="70"/>
      <c r="H22" s="71" t="s">
        <v>144</v>
      </c>
      <c r="I22" s="197"/>
      <c r="J22" s="197"/>
      <c r="K22" s="197"/>
      <c r="L22" s="197"/>
      <c r="M22" s="198"/>
    </row>
    <row r="23" spans="2:13" ht="12.75" customHeight="1">
      <c r="B23" s="266" t="s">
        <v>87</v>
      </c>
      <c r="C23" s="266"/>
      <c r="D23" s="266"/>
      <c r="E23" s="211"/>
      <c r="F23" s="138"/>
      <c r="G23" s="70"/>
      <c r="H23" s="71" t="s">
        <v>144</v>
      </c>
      <c r="I23" s="197"/>
      <c r="J23" s="197"/>
      <c r="K23" s="197"/>
      <c r="L23" s="197"/>
      <c r="M23" s="198"/>
    </row>
    <row r="24" spans="2:12" ht="12.75" customHeight="1">
      <c r="B24" s="258" t="s">
        <v>146</v>
      </c>
      <c r="C24" s="258"/>
      <c r="D24" s="258"/>
      <c r="E24" s="91">
        <f>IF(E12=$I$16,(E16*F16+E17*F17+E18*F18+E19*F19+E20*F20)*E21/1000000,'Case A'!C12*'Case A'!K11/1000000)</f>
        <v>0</v>
      </c>
      <c r="F24" s="97"/>
      <c r="G24" s="70"/>
      <c r="H24" s="71" t="s">
        <v>145</v>
      </c>
      <c r="I24" s="31"/>
      <c r="J24" s="31"/>
      <c r="K24" s="31"/>
      <c r="L24" s="31"/>
    </row>
    <row r="25" spans="2:12" s="161" customFormat="1" ht="25.5">
      <c r="B25" s="259" t="s">
        <v>147</v>
      </c>
      <c r="C25" s="259"/>
      <c r="D25" s="259"/>
      <c r="E25" s="203"/>
      <c r="F25" s="157" t="str">
        <f>IF(E12=$I$16,"Btu/lb",IF(E12=$I$17,"Btu/lb","Btu/ACF"))</f>
        <v>Btu/lb</v>
      </c>
      <c r="G25" s="158"/>
      <c r="H25" s="159" t="str">
        <f>IF($E$12=$I$16,"Calculated","Enter VOC energy data in specified units")</f>
        <v>Enter VOC energy data in specified units</v>
      </c>
      <c r="I25" s="160"/>
      <c r="J25" s="160"/>
      <c r="K25" s="160"/>
      <c r="L25" s="160"/>
    </row>
    <row r="26" spans="2:12" ht="15.75" customHeight="1">
      <c r="B26" s="262" t="s">
        <v>148</v>
      </c>
      <c r="C26" s="263"/>
      <c r="D26" s="263"/>
      <c r="E26" s="263"/>
      <c r="F26" s="263"/>
      <c r="G26" s="264"/>
      <c r="H26" s="92"/>
      <c r="I26" s="31"/>
      <c r="J26" s="31"/>
      <c r="K26" s="31"/>
      <c r="L26" s="31"/>
    </row>
    <row r="27" spans="2:12" ht="15.75" customHeight="1">
      <c r="B27" s="96"/>
      <c r="C27" s="96"/>
      <c r="D27" s="260" t="s">
        <v>88</v>
      </c>
      <c r="E27" s="261"/>
      <c r="F27" s="261" t="s">
        <v>89</v>
      </c>
      <c r="G27" s="285"/>
      <c r="H27" s="77"/>
      <c r="I27" s="31"/>
      <c r="J27" s="31"/>
      <c r="K27" s="31"/>
      <c r="L27" s="31"/>
    </row>
    <row r="28" spans="2:12" ht="12.75">
      <c r="B28" s="97"/>
      <c r="C28" s="98"/>
      <c r="D28" s="94" t="s">
        <v>90</v>
      </c>
      <c r="E28" s="95"/>
      <c r="F28" s="174"/>
      <c r="G28" s="175"/>
      <c r="H28" s="77"/>
      <c r="I28" s="31"/>
      <c r="J28" s="31"/>
      <c r="K28" s="31"/>
      <c r="L28" s="31"/>
    </row>
    <row r="29" spans="2:12" ht="12.75">
      <c r="B29" s="78" t="s">
        <v>100</v>
      </c>
      <c r="C29" s="78"/>
      <c r="D29" s="212"/>
      <c r="E29" s="210"/>
      <c r="F29" s="213"/>
      <c r="G29" s="210"/>
      <c r="H29" s="71" t="s">
        <v>149</v>
      </c>
      <c r="I29" s="31"/>
      <c r="J29" s="31"/>
      <c r="K29" s="31"/>
      <c r="L29" s="31"/>
    </row>
    <row r="30" spans="2:12" ht="12.75">
      <c r="B30" s="78" t="s">
        <v>101</v>
      </c>
      <c r="C30" s="78"/>
      <c r="D30" s="212"/>
      <c r="E30" s="210"/>
      <c r="F30" s="213"/>
      <c r="G30" s="210"/>
      <c r="H30" s="53" t="str">
        <f>""""</f>
        <v>"</v>
      </c>
      <c r="I30" s="31"/>
      <c r="J30" s="31"/>
      <c r="K30" s="31"/>
      <c r="L30" s="31"/>
    </row>
    <row r="31" spans="2:12" ht="12.75">
      <c r="B31" s="78" t="s">
        <v>102</v>
      </c>
      <c r="C31" s="78"/>
      <c r="D31" s="212"/>
      <c r="E31" s="210"/>
      <c r="F31" s="213"/>
      <c r="G31" s="210"/>
      <c r="H31" s="53" t="str">
        <f>""""</f>
        <v>"</v>
      </c>
      <c r="I31" s="31"/>
      <c r="J31" s="31"/>
      <c r="K31" s="31"/>
      <c r="L31" s="31"/>
    </row>
    <row r="32" spans="2:12" ht="12.75">
      <c r="B32" s="78" t="s">
        <v>103</v>
      </c>
      <c r="C32" s="78"/>
      <c r="D32" s="212"/>
      <c r="E32" s="210"/>
      <c r="F32" s="213"/>
      <c r="G32" s="210"/>
      <c r="H32" s="71" t="s">
        <v>151</v>
      </c>
      <c r="I32" s="31"/>
      <c r="J32" s="31"/>
      <c r="K32" s="31"/>
      <c r="L32" s="31"/>
    </row>
    <row r="33" spans="2:12" ht="12.75">
      <c r="B33" s="64" t="s">
        <v>104</v>
      </c>
      <c r="C33" s="63"/>
      <c r="D33" s="204"/>
      <c r="E33" s="155">
        <f>100%-SUM(E29:E32)</f>
        <v>1</v>
      </c>
      <c r="F33" s="202"/>
      <c r="G33" s="155">
        <f>100%-SUM(G29:G32)</f>
        <v>1</v>
      </c>
      <c r="H33" s="71" t="s">
        <v>150</v>
      </c>
      <c r="I33" s="31"/>
      <c r="J33" s="31"/>
      <c r="K33" s="31"/>
      <c r="L33" s="31"/>
    </row>
    <row r="34" spans="2:12" ht="15.75" customHeight="1">
      <c r="B34" s="247" t="s">
        <v>39</v>
      </c>
      <c r="C34" s="248"/>
      <c r="D34" s="248"/>
      <c r="E34" s="248"/>
      <c r="F34" s="248"/>
      <c r="G34" s="249"/>
      <c r="H34" s="99"/>
      <c r="I34" s="31"/>
      <c r="J34" s="31"/>
      <c r="K34" s="31"/>
      <c r="L34" s="31"/>
    </row>
    <row r="35" spans="2:12" ht="15.75">
      <c r="B35" s="76"/>
      <c r="C35" s="79"/>
      <c r="D35" s="80"/>
      <c r="E35" s="71"/>
      <c r="F35" s="100" t="s">
        <v>88</v>
      </c>
      <c r="G35" s="101" t="s">
        <v>89</v>
      </c>
      <c r="H35" s="80"/>
      <c r="I35" s="31"/>
      <c r="J35" s="31"/>
      <c r="K35" s="31"/>
      <c r="L35" s="31"/>
    </row>
    <row r="36" spans="2:12" ht="27" customHeight="1">
      <c r="B36" s="256" t="s">
        <v>109</v>
      </c>
      <c r="C36" s="256"/>
      <c r="D36" s="256"/>
      <c r="E36" s="256"/>
      <c r="F36" s="124" t="s">
        <v>57</v>
      </c>
      <c r="G36" s="124" t="s">
        <v>57</v>
      </c>
      <c r="H36" s="164" t="s">
        <v>152</v>
      </c>
      <c r="I36" s="31"/>
      <c r="J36" s="31"/>
      <c r="K36" s="31"/>
      <c r="L36" s="31"/>
    </row>
    <row r="37" spans="2:12" ht="12.75">
      <c r="B37" s="257" t="s">
        <v>174</v>
      </c>
      <c r="C37" s="257"/>
      <c r="D37" s="257"/>
      <c r="E37" s="257"/>
      <c r="F37" s="205">
        <v>0.1</v>
      </c>
      <c r="G37" s="205">
        <f>0.1</f>
        <v>0.1</v>
      </c>
      <c r="H37" s="71" t="s">
        <v>153</v>
      </c>
      <c r="I37" s="31"/>
      <c r="J37" s="31"/>
      <c r="K37" s="31"/>
      <c r="L37" s="31"/>
    </row>
    <row r="38" spans="2:12" ht="26.25" customHeight="1">
      <c r="B38" s="254" t="s">
        <v>178</v>
      </c>
      <c r="C38" s="254"/>
      <c r="D38" s="254"/>
      <c r="E38" s="254"/>
      <c r="F38" s="255" t="s">
        <v>38</v>
      </c>
      <c r="G38" s="255"/>
      <c r="H38" s="164" t="s">
        <v>142</v>
      </c>
      <c r="I38" s="31"/>
      <c r="J38" s="31"/>
      <c r="K38" s="31"/>
      <c r="L38" s="31"/>
    </row>
    <row r="39" spans="2:12" ht="19.5" customHeight="1">
      <c r="B39" s="51"/>
      <c r="C39" s="51"/>
      <c r="D39" s="51"/>
      <c r="E39" s="39"/>
      <c r="F39" s="39"/>
      <c r="G39" s="74"/>
      <c r="H39" s="74"/>
      <c r="I39" s="31"/>
      <c r="J39" s="31"/>
      <c r="K39" s="31"/>
      <c r="L39" s="31"/>
    </row>
    <row r="40" spans="2:16" ht="19.5" customHeight="1">
      <c r="B40" s="107" t="s">
        <v>36</v>
      </c>
      <c r="C40" s="107"/>
      <c r="D40" s="107"/>
      <c r="E40" s="107"/>
      <c r="F40" s="107"/>
      <c r="G40" s="107"/>
      <c r="H40" s="107"/>
      <c r="I40" s="31"/>
      <c r="J40" s="31"/>
      <c r="K40" s="56"/>
      <c r="L40" s="56"/>
      <c r="M40" s="26"/>
      <c r="N40" s="26"/>
      <c r="O40" s="26"/>
      <c r="P40" s="26"/>
    </row>
    <row r="41" spans="1:16" ht="19.5" customHeight="1">
      <c r="A41" s="65"/>
      <c r="B41" s="110"/>
      <c r="C41" s="111"/>
      <c r="D41" s="112"/>
      <c r="E41" s="112"/>
      <c r="F41" s="111"/>
      <c r="G41" s="113"/>
      <c r="H41" s="164" t="s">
        <v>154</v>
      </c>
      <c r="I41" s="31"/>
      <c r="J41" s="31" t="b">
        <v>1</v>
      </c>
      <c r="K41" s="56"/>
      <c r="L41" s="56"/>
      <c r="M41" s="26"/>
      <c r="N41" s="26"/>
      <c r="O41" s="26"/>
      <c r="P41" s="26"/>
    </row>
    <row r="42" spans="1:12" ht="19.5" customHeight="1">
      <c r="A42" s="65"/>
      <c r="B42" s="114"/>
      <c r="C42" s="115"/>
      <c r="D42" s="115"/>
      <c r="E42" s="115"/>
      <c r="F42" s="115"/>
      <c r="G42" s="116"/>
      <c r="H42" s="109"/>
      <c r="I42" s="31"/>
      <c r="J42" s="31" t="b">
        <v>0</v>
      </c>
      <c r="K42" s="31"/>
      <c r="L42" s="31"/>
    </row>
    <row r="43" spans="1:12" ht="19.5" customHeight="1">
      <c r="A43" s="65"/>
      <c r="B43" s="114"/>
      <c r="C43" s="115"/>
      <c r="D43" s="117"/>
      <c r="E43" s="117"/>
      <c r="F43" s="115"/>
      <c r="G43" s="118"/>
      <c r="H43" s="74"/>
      <c r="I43" s="31"/>
      <c r="J43" s="31" t="b">
        <v>0</v>
      </c>
      <c r="K43" s="31"/>
      <c r="L43" s="31"/>
    </row>
    <row r="44" spans="1:12" ht="19.5" customHeight="1">
      <c r="A44" s="65"/>
      <c r="B44" s="114"/>
      <c r="C44" s="115"/>
      <c r="D44" s="115"/>
      <c r="E44" s="115"/>
      <c r="F44" s="115"/>
      <c r="G44" s="116"/>
      <c r="H44" s="109"/>
      <c r="I44" s="31"/>
      <c r="J44" s="31" t="b">
        <v>0</v>
      </c>
      <c r="K44" s="31"/>
      <c r="L44" s="31"/>
    </row>
    <row r="45" spans="1:12" ht="9.75" customHeight="1">
      <c r="A45" s="65"/>
      <c r="B45" s="119"/>
      <c r="C45" s="120"/>
      <c r="D45" s="121"/>
      <c r="E45" s="122"/>
      <c r="F45" s="120"/>
      <c r="G45" s="123"/>
      <c r="H45" s="74"/>
      <c r="I45" s="31"/>
      <c r="J45" s="31"/>
      <c r="K45" s="31"/>
      <c r="L45" s="31"/>
    </row>
    <row r="46" spans="2:12" ht="15">
      <c r="B46" s="217" t="s">
        <v>40</v>
      </c>
      <c r="C46" s="218"/>
      <c r="D46" s="218"/>
      <c r="E46" s="218"/>
      <c r="F46" s="218"/>
      <c r="G46" s="214"/>
      <c r="H46" s="131"/>
      <c r="I46" s="31"/>
      <c r="J46" s="31"/>
      <c r="K46" s="31"/>
      <c r="L46" s="31"/>
    </row>
    <row r="47" spans="2:12" ht="15.75" customHeight="1">
      <c r="B47" s="228"/>
      <c r="C47" s="229"/>
      <c r="D47" s="230"/>
      <c r="E47" s="93" t="s">
        <v>88</v>
      </c>
      <c r="F47" s="93" t="s">
        <v>89</v>
      </c>
      <c r="G47" s="104"/>
      <c r="H47" s="154"/>
      <c r="I47" s="31"/>
      <c r="J47" s="31"/>
      <c r="K47" s="31"/>
      <c r="L47" s="31"/>
    </row>
    <row r="48" spans="2:12" ht="12.75">
      <c r="B48" s="253" t="s">
        <v>115</v>
      </c>
      <c r="C48" s="253"/>
      <c r="D48" s="253"/>
      <c r="E48" s="141">
        <f>$D$33</f>
        <v>0</v>
      </c>
      <c r="F48" s="141">
        <f>F33</f>
        <v>0</v>
      </c>
      <c r="G48" s="146"/>
      <c r="H48" s="209" t="s">
        <v>145</v>
      </c>
      <c r="I48" s="31"/>
      <c r="J48" s="31"/>
      <c r="K48" s="31"/>
      <c r="L48" s="31"/>
    </row>
    <row r="49" spans="2:12" ht="51.75" customHeight="1">
      <c r="B49" s="267" t="str">
        <f>IF($F$38=$I$13,"19.  Exhaust temperature (F)","19.  Heat exchanger efficiency (%)")</f>
        <v>19.  Heat exchanger efficiency (%)</v>
      </c>
      <c r="C49" s="268"/>
      <c r="D49" s="269"/>
      <c r="E49" s="152"/>
      <c r="F49" s="206"/>
      <c r="G49" s="146"/>
      <c r="H49" s="166" t="str">
        <f>IF(AND(F38=$I$12,F49&lt;100*'Case A'!$N$3),"Heat exchanger efficiency must be &gt;= 40%.",IF(AND(F38=$I$12,F49&gt;100*'Case A'!$O$3),"Heat exchanger efficiency must &lt;= 60%.",IF(F49&gt;$E$22,"The heat exchanger outlet temperature cannot exceed the destruction temperature (Line 10).",IF(AND(F38&lt;&gt;$I$12,F49&lt;100),"Heat exchanger outlet temperature is low.","Enter efficiency"))))</f>
        <v>Heat exchanger efficiency must be &gt;= 40%.</v>
      </c>
      <c r="I49" s="31"/>
      <c r="J49" s="31"/>
      <c r="K49" s="31"/>
      <c r="L49" s="31"/>
    </row>
    <row r="50" spans="2:12" s="27" customFormat="1" ht="12.75">
      <c r="B50" s="292" t="s">
        <v>114</v>
      </c>
      <c r="C50" s="293"/>
      <c r="D50" s="294"/>
      <c r="E50" s="141" t="e">
        <f>'Case A'!H27</f>
        <v>#DIV/0!</v>
      </c>
      <c r="F50" s="141" t="e">
        <f>'Case A'!H53</f>
        <v>#DIV/0!</v>
      </c>
      <c r="G50" s="142"/>
      <c r="H50" s="221" t="s">
        <v>145</v>
      </c>
      <c r="I50" s="55"/>
      <c r="J50" s="55"/>
      <c r="K50" s="55"/>
      <c r="L50" s="55"/>
    </row>
    <row r="51" spans="2:12" s="27" customFormat="1" ht="27" customHeight="1">
      <c r="B51" s="143" t="s">
        <v>110</v>
      </c>
      <c r="C51" s="144"/>
      <c r="D51" s="145"/>
      <c r="E51" s="241" t="e">
        <f>$E$10/E50*8760</f>
        <v>#DIV/0!</v>
      </c>
      <c r="F51" s="242"/>
      <c r="G51" s="142"/>
      <c r="H51" s="165" t="e">
        <f>IF(E51&gt;8760,"6. Annual gas use, seems high.","Calculated")</f>
        <v>#DIV/0!</v>
      </c>
      <c r="I51" s="55"/>
      <c r="J51" s="55"/>
      <c r="K51" s="55"/>
      <c r="L51" s="55"/>
    </row>
    <row r="52" spans="2:12" s="27" customFormat="1" ht="12.75">
      <c r="B52" s="253" t="s">
        <v>124</v>
      </c>
      <c r="C52" s="253"/>
      <c r="D52" s="253"/>
      <c r="E52" s="251" t="e">
        <f>(E50-F50)/E50</f>
        <v>#DIV/0!</v>
      </c>
      <c r="F52" s="252"/>
      <c r="G52" s="146"/>
      <c r="H52" s="222" t="s">
        <v>145</v>
      </c>
      <c r="I52" s="55"/>
      <c r="J52" s="55"/>
      <c r="K52" s="55"/>
      <c r="L52" s="55"/>
    </row>
    <row r="53" spans="2:12" s="27" customFormat="1" ht="51.75" customHeight="1">
      <c r="B53" s="102" t="s">
        <v>111</v>
      </c>
      <c r="C53" s="147"/>
      <c r="D53" s="147"/>
      <c r="E53" s="233" t="e">
        <f>E52*$E$10</f>
        <v>#DIV/0!</v>
      </c>
      <c r="F53" s="234"/>
      <c r="G53" s="148"/>
      <c r="H53" s="166" t="e">
        <f>IF('Case A'!$C$43&gt;'Case A'!$N$5,CONCATENATE("Thermal oxidizer temperature (",'Case A'!$K$43,"F) should be lower than ",'Case A'!$N$5,"F"),"Calculated")</f>
        <v>#DIV/0!</v>
      </c>
      <c r="I53" s="55"/>
      <c r="J53" s="55"/>
      <c r="K53" s="55"/>
      <c r="L53" s="55"/>
    </row>
    <row r="54" spans="2:12" s="27" customFormat="1" ht="15">
      <c r="B54" s="126" t="s">
        <v>107</v>
      </c>
      <c r="C54" s="126"/>
      <c r="D54" s="126"/>
      <c r="E54" s="149"/>
      <c r="F54" s="150"/>
      <c r="G54" s="150"/>
      <c r="H54" s="130"/>
      <c r="I54" s="55"/>
      <c r="J54" s="55"/>
      <c r="K54" s="55"/>
      <c r="L54" s="55"/>
    </row>
    <row r="55" spans="2:12" s="27" customFormat="1" ht="15">
      <c r="B55" s="235" t="s">
        <v>108</v>
      </c>
      <c r="C55" s="236"/>
      <c r="D55" s="237"/>
      <c r="E55" s="238"/>
      <c r="F55" s="238"/>
      <c r="G55" s="151"/>
      <c r="H55" s="167" t="s">
        <v>156</v>
      </c>
      <c r="I55" s="55"/>
      <c r="J55" s="55"/>
      <c r="K55" s="55"/>
      <c r="L55" s="55"/>
    </row>
    <row r="56" spans="2:12" s="27" customFormat="1" ht="15">
      <c r="B56" s="102" t="s">
        <v>112</v>
      </c>
      <c r="C56" s="140"/>
      <c r="D56" s="140"/>
      <c r="E56" s="226" t="e">
        <f>E53*E55</f>
        <v>#DIV/0!</v>
      </c>
      <c r="F56" s="227"/>
      <c r="G56" s="151"/>
      <c r="H56" s="220" t="s">
        <v>145</v>
      </c>
      <c r="I56" s="55"/>
      <c r="J56" s="55"/>
      <c r="K56" s="55"/>
      <c r="L56" s="55"/>
    </row>
    <row r="57" spans="2:12" ht="15" hidden="1">
      <c r="B57" s="217" t="s">
        <v>105</v>
      </c>
      <c r="C57" s="218"/>
      <c r="D57" s="218"/>
      <c r="E57" s="218"/>
      <c r="F57" s="218"/>
      <c r="G57" s="218"/>
      <c r="H57" s="131"/>
      <c r="I57" s="31"/>
      <c r="J57" s="31"/>
      <c r="K57" s="31"/>
      <c r="L57" s="31"/>
    </row>
    <row r="58" spans="2:12" s="27" customFormat="1" ht="12.75" hidden="1">
      <c r="B58" s="228"/>
      <c r="C58" s="229"/>
      <c r="D58" s="230"/>
      <c r="E58" s="93" t="s">
        <v>88</v>
      </c>
      <c r="F58" s="93" t="s">
        <v>89</v>
      </c>
      <c r="G58" s="103"/>
      <c r="H58" s="125"/>
      <c r="I58" s="55"/>
      <c r="J58" s="55"/>
      <c r="K58" s="55"/>
      <c r="L58" s="55"/>
    </row>
    <row r="59" spans="2:12" ht="12.75" hidden="1">
      <c r="B59" s="253" t="s">
        <v>116</v>
      </c>
      <c r="C59" s="253"/>
      <c r="D59" s="253"/>
      <c r="E59" s="141">
        <f>$D$33</f>
        <v>0</v>
      </c>
      <c r="F59" s="141">
        <f>$F$33</f>
        <v>0</v>
      </c>
      <c r="G59" s="168"/>
      <c r="H59" s="166" t="s">
        <v>145</v>
      </c>
      <c r="I59" s="31"/>
      <c r="J59" s="31"/>
      <c r="K59" s="31"/>
      <c r="L59" s="31"/>
    </row>
    <row r="60" spans="2:12" ht="51.75" customHeight="1" hidden="1">
      <c r="B60" s="287" t="str">
        <f>IF($F$38=$I$13,"27.  Exhaust temperature (F)","27.  Heat exchanger efficiency (%)")</f>
        <v>27.  Heat exchanger efficiency (%)</v>
      </c>
      <c r="C60" s="287"/>
      <c r="D60" s="287"/>
      <c r="E60" s="207">
        <v>0</v>
      </c>
      <c r="F60" s="206">
        <v>0</v>
      </c>
      <c r="G60" s="168"/>
      <c r="H60" s="166" t="str">
        <f>IF(AND($F$38=$I$12,OR(E60&lt;100*'Case B'!$N$3,F60&lt;100*'Case B'!$N$3)),"Efficiency must be &gt;= 40%.",IF(AND($F$38=$I$12,OR(E60&gt;100*'Case B'!$O$3,F60&gt;100*'Case B'!$O$3)),"Efficiency must be &lt;= 60%.",IF(OR(E60&gt;$E$22,F60&gt;$E$22),"The heat exchanger outlet temperature cannot exceed the destruction temperature (Line 10)",IF(AND($F$38&lt;&gt;$I$12,OR(E60&lt;100,F60&lt;100)),"Heat exchanger outlet temperature is low.","Enter efficiencies"))))</f>
        <v>Efficiency must be &gt;= 40%.</v>
      </c>
      <c r="I60" s="31"/>
      <c r="J60" s="31"/>
      <c r="K60" s="31"/>
      <c r="L60" s="31"/>
    </row>
    <row r="61" spans="2:12" ht="15" hidden="1">
      <c r="B61" s="259" t="s">
        <v>126</v>
      </c>
      <c r="C61" s="259"/>
      <c r="D61" s="259"/>
      <c r="E61" s="141" t="e">
        <f>'Case B'!H27</f>
        <v>#DIV/0!</v>
      </c>
      <c r="F61" s="141" t="e">
        <f>'Case B'!H53</f>
        <v>#DIV/0!</v>
      </c>
      <c r="G61" s="133"/>
      <c r="H61" s="166" t="s">
        <v>145</v>
      </c>
      <c r="I61" s="156"/>
      <c r="J61" s="31"/>
      <c r="K61" s="31"/>
      <c r="L61" s="31"/>
    </row>
    <row r="62" spans="2:12" ht="27" customHeight="1" hidden="1">
      <c r="B62" s="253" t="s">
        <v>123</v>
      </c>
      <c r="C62" s="253"/>
      <c r="D62" s="253"/>
      <c r="E62" s="241" t="e">
        <f>$E$10/E61*8760</f>
        <v>#DIV/0!</v>
      </c>
      <c r="F62" s="250"/>
      <c r="G62" s="133"/>
      <c r="H62" s="165" t="e">
        <f>IF(E62&gt;8760,"6. Annual gas use, seems high.","Calculated")</f>
        <v>#DIV/0!</v>
      </c>
      <c r="I62" s="31"/>
      <c r="J62" s="31"/>
      <c r="K62" s="31"/>
      <c r="L62" s="31"/>
    </row>
    <row r="63" spans="2:12" ht="12.75" hidden="1">
      <c r="B63" s="253" t="s">
        <v>122</v>
      </c>
      <c r="C63" s="253"/>
      <c r="D63" s="253"/>
      <c r="E63" s="251" t="e">
        <f>(E61-F61)/E61</f>
        <v>#DIV/0!</v>
      </c>
      <c r="F63" s="252"/>
      <c r="G63" s="169"/>
      <c r="H63" s="166" t="s">
        <v>145</v>
      </c>
      <c r="I63" s="31"/>
      <c r="J63" s="31"/>
      <c r="K63" s="31"/>
      <c r="L63" s="31"/>
    </row>
    <row r="64" spans="2:12" ht="52.5" customHeight="1" hidden="1">
      <c r="B64" s="102" t="s">
        <v>118</v>
      </c>
      <c r="C64" s="153"/>
      <c r="D64" s="153"/>
      <c r="E64" s="233" t="e">
        <f>E63*$E$10</f>
        <v>#DIV/0!</v>
      </c>
      <c r="F64" s="234"/>
      <c r="G64" s="169"/>
      <c r="H64" s="166" t="e">
        <f>IF('Case B'!$C$43&gt;'Case B'!$N$5,CONCATENATE("Thermal oxidizer temperature (",'Case B'!$K$43,"F) should be lower than ",'Case B'!$N$5,"F"),"Calculated")</f>
        <v>#DIV/0!</v>
      </c>
      <c r="I64" s="31"/>
      <c r="J64" s="31"/>
      <c r="K64" s="31"/>
      <c r="L64" s="31"/>
    </row>
    <row r="65" spans="2:12" ht="12.75" hidden="1">
      <c r="B65" s="126" t="s">
        <v>117</v>
      </c>
      <c r="C65" s="127"/>
      <c r="D65" s="127"/>
      <c r="E65" s="128"/>
      <c r="F65" s="129"/>
      <c r="G65" s="169"/>
      <c r="H65" s="166"/>
      <c r="I65" s="31"/>
      <c r="J65" s="31"/>
      <c r="K65" s="31"/>
      <c r="L65" s="31"/>
    </row>
    <row r="66" spans="2:12" ht="12.75" hidden="1">
      <c r="B66" s="235" t="s">
        <v>119</v>
      </c>
      <c r="C66" s="236"/>
      <c r="D66" s="237"/>
      <c r="E66" s="238"/>
      <c r="F66" s="238"/>
      <c r="G66" s="169"/>
      <c r="H66" s="166" t="s">
        <v>156</v>
      </c>
      <c r="I66" s="31"/>
      <c r="J66" s="31"/>
      <c r="K66" s="31"/>
      <c r="L66" s="31"/>
    </row>
    <row r="67" spans="2:12" ht="12.75" hidden="1">
      <c r="B67" s="223" t="s">
        <v>120</v>
      </c>
      <c r="C67" s="224"/>
      <c r="D67" s="225"/>
      <c r="E67" s="226" t="e">
        <f>E64*E66</f>
        <v>#DIV/0!</v>
      </c>
      <c r="F67" s="227"/>
      <c r="G67" s="169"/>
      <c r="H67" s="166" t="s">
        <v>145</v>
      </c>
      <c r="I67" s="31"/>
      <c r="J67" s="31"/>
      <c r="K67" s="31"/>
      <c r="L67" s="31"/>
    </row>
    <row r="68" spans="2:12" ht="15" hidden="1">
      <c r="B68" s="217" t="s">
        <v>42</v>
      </c>
      <c r="C68" s="218"/>
      <c r="D68" s="218"/>
      <c r="E68" s="218"/>
      <c r="F68" s="218"/>
      <c r="G68" s="218"/>
      <c r="H68" s="132"/>
      <c r="I68" s="31"/>
      <c r="J68" s="31"/>
      <c r="K68" s="31"/>
      <c r="L68" s="31"/>
    </row>
    <row r="69" spans="2:12" s="8" customFormat="1" ht="15" hidden="1">
      <c r="B69" s="215"/>
      <c r="C69" s="245"/>
      <c r="D69" s="246"/>
      <c r="E69" s="93" t="s">
        <v>88</v>
      </c>
      <c r="F69" s="93" t="s">
        <v>89</v>
      </c>
      <c r="G69" s="103"/>
      <c r="H69" s="132"/>
      <c r="I69" s="30"/>
      <c r="J69" s="30"/>
      <c r="K69" s="30"/>
      <c r="L69" s="30"/>
    </row>
    <row r="70" spans="2:12" ht="12.75" hidden="1">
      <c r="B70" s="253" t="s">
        <v>121</v>
      </c>
      <c r="C70" s="253"/>
      <c r="D70" s="253"/>
      <c r="E70" s="141">
        <f>$D$33</f>
        <v>0</v>
      </c>
      <c r="F70" s="141">
        <f>$F$33</f>
        <v>0</v>
      </c>
      <c r="G70" s="138"/>
      <c r="H70" s="170" t="s">
        <v>145</v>
      </c>
      <c r="I70" s="31"/>
      <c r="J70" s="31"/>
      <c r="K70" s="31"/>
      <c r="L70" s="31"/>
    </row>
    <row r="71" spans="2:12" ht="52.5" customHeight="1" hidden="1">
      <c r="B71" s="287" t="str">
        <f>IF($F$38=$I$13,"35.  Exhaust temperature (F)","35.  Heat exchanger efficiency (%)")</f>
        <v>35.  Heat exchanger efficiency (%)</v>
      </c>
      <c r="C71" s="287"/>
      <c r="D71" s="287"/>
      <c r="E71" s="208"/>
      <c r="F71" s="206">
        <f>0</f>
        <v>0</v>
      </c>
      <c r="G71" s="138"/>
      <c r="H71" s="166" t="str">
        <f>IF(AND($F$38=$I$12,F71&lt;100*'Case C'!$N$4),"Efficiency must be &gt;= 60%.",IF(AND($F$38=$I$12,F71&gt;100*'Case C'!$O$4),"Efficiency must be &lt;= 95%.",IF(F71&gt;$E$22,"The heat exchanger outlet temperature cannot exceed the destruction temperature (Line 10)",IF(AND($F$38&lt;&gt;$I$12,F71&lt;100),"Heat exchanger outlet temperature seems low.","Enter efficiency"))))</f>
        <v>Efficiency must be &gt;= 60%.</v>
      </c>
      <c r="I71" s="31"/>
      <c r="J71" s="31"/>
      <c r="K71" s="31"/>
      <c r="L71" s="31"/>
    </row>
    <row r="72" spans="2:12" ht="12.75" hidden="1">
      <c r="B72" s="259" t="s">
        <v>125</v>
      </c>
      <c r="C72" s="259"/>
      <c r="D72" s="259"/>
      <c r="E72" s="141" t="e">
        <f>'Case C'!H27</f>
        <v>#DIV/0!</v>
      </c>
      <c r="F72" s="141" t="e">
        <f>'Case C'!H53</f>
        <v>#DIV/0!</v>
      </c>
      <c r="G72" s="106"/>
      <c r="H72" s="170" t="s">
        <v>145</v>
      </c>
      <c r="I72" s="31"/>
      <c r="J72" s="31"/>
      <c r="K72" s="31"/>
      <c r="L72" s="31"/>
    </row>
    <row r="73" spans="2:12" ht="27" customHeight="1" hidden="1">
      <c r="B73" s="253" t="s">
        <v>127</v>
      </c>
      <c r="C73" s="253"/>
      <c r="D73" s="253"/>
      <c r="E73" s="241" t="e">
        <f>$E$10/E72*8760</f>
        <v>#DIV/0!</v>
      </c>
      <c r="F73" s="242"/>
      <c r="G73" s="106"/>
      <c r="H73" s="165" t="e">
        <f>IF(E73&gt;8760,"6. Annual gas use, seems high.","Calculated")</f>
        <v>#DIV/0!</v>
      </c>
      <c r="I73" s="31"/>
      <c r="J73" s="31"/>
      <c r="K73" s="31"/>
      <c r="L73" s="31"/>
    </row>
    <row r="74" spans="2:12" ht="12.75" hidden="1">
      <c r="B74" s="253" t="s">
        <v>128</v>
      </c>
      <c r="C74" s="253"/>
      <c r="D74" s="253"/>
      <c r="E74" s="239" t="e">
        <f>(E72-F72)/E72</f>
        <v>#DIV/0!</v>
      </c>
      <c r="F74" s="240"/>
      <c r="G74" s="105"/>
      <c r="H74" s="170" t="s">
        <v>145</v>
      </c>
      <c r="I74" s="31"/>
      <c r="J74" s="31"/>
      <c r="K74" s="31"/>
      <c r="L74" s="31"/>
    </row>
    <row r="75" spans="2:12" ht="52.5" customHeight="1" hidden="1">
      <c r="B75" s="223" t="s">
        <v>129</v>
      </c>
      <c r="C75" s="224"/>
      <c r="D75" s="225"/>
      <c r="E75" s="233" t="e">
        <f>E74*$E$10</f>
        <v>#DIV/0!</v>
      </c>
      <c r="F75" s="234"/>
      <c r="G75" s="105"/>
      <c r="H75" s="166" t="e">
        <f>IF('Case C'!$C$43&gt;'Case C'!$N$5,CONCATENATE("Thermal oxidizer temperature (",'Case C'!$K$43,"F) should be lower than ",'Case C'!$N$5,"F"),"Calculated")</f>
        <v>#DIV/0!</v>
      </c>
      <c r="I75" s="31"/>
      <c r="J75" s="31"/>
      <c r="K75" s="31"/>
      <c r="L75" s="31"/>
    </row>
    <row r="76" spans="2:12" ht="12.75" hidden="1">
      <c r="B76" s="126" t="s">
        <v>140</v>
      </c>
      <c r="C76" s="127"/>
      <c r="D76" s="127"/>
      <c r="E76" s="128"/>
      <c r="F76" s="129"/>
      <c r="G76" s="105"/>
      <c r="H76" s="166"/>
      <c r="I76" s="31"/>
      <c r="J76" s="31"/>
      <c r="K76" s="31"/>
      <c r="L76" s="31"/>
    </row>
    <row r="77" spans="2:12" ht="12.75" hidden="1">
      <c r="B77" s="235" t="s">
        <v>130</v>
      </c>
      <c r="C77" s="236"/>
      <c r="D77" s="237"/>
      <c r="E77" s="238"/>
      <c r="F77" s="238"/>
      <c r="G77" s="105"/>
      <c r="H77" s="166" t="s">
        <v>156</v>
      </c>
      <c r="I77" s="31"/>
      <c r="J77" s="31"/>
      <c r="K77" s="31"/>
      <c r="L77" s="31"/>
    </row>
    <row r="78" spans="2:12" s="27" customFormat="1" ht="12.75" hidden="1">
      <c r="B78" s="223" t="s">
        <v>131</v>
      </c>
      <c r="C78" s="224"/>
      <c r="D78" s="225"/>
      <c r="E78" s="226" t="e">
        <f>E75*E77</f>
        <v>#DIV/0!</v>
      </c>
      <c r="F78" s="227"/>
      <c r="G78" s="105"/>
      <c r="H78" s="177" t="s">
        <v>145</v>
      </c>
      <c r="I78" s="55"/>
      <c r="J78" s="55"/>
      <c r="K78" s="55"/>
      <c r="L78" s="55"/>
    </row>
    <row r="79" spans="2:12" ht="15" hidden="1">
      <c r="B79" s="217" t="s">
        <v>106</v>
      </c>
      <c r="C79" s="218"/>
      <c r="D79" s="218"/>
      <c r="E79" s="218"/>
      <c r="F79" s="218"/>
      <c r="G79" s="214"/>
      <c r="H79" s="131"/>
      <c r="I79" s="31"/>
      <c r="J79" s="31"/>
      <c r="K79" s="31"/>
      <c r="L79" s="31"/>
    </row>
    <row r="80" spans="2:12" ht="12.75" hidden="1">
      <c r="B80" s="228"/>
      <c r="C80" s="229"/>
      <c r="D80" s="230"/>
      <c r="E80" s="93" t="s">
        <v>88</v>
      </c>
      <c r="F80" s="93" t="s">
        <v>89</v>
      </c>
      <c r="G80" s="103"/>
      <c r="H80" s="133"/>
      <c r="I80" s="31"/>
      <c r="J80" s="31"/>
      <c r="K80" s="31"/>
      <c r="L80" s="31"/>
    </row>
    <row r="81" spans="2:12" ht="12.75" hidden="1">
      <c r="B81" s="295" t="s">
        <v>132</v>
      </c>
      <c r="C81" s="295"/>
      <c r="D81" s="295"/>
      <c r="E81" s="141">
        <f>$D$33</f>
        <v>0</v>
      </c>
      <c r="F81" s="141">
        <f>$F$33</f>
        <v>0</v>
      </c>
      <c r="G81" s="168"/>
      <c r="H81" s="177" t="s">
        <v>145</v>
      </c>
      <c r="I81" s="31"/>
      <c r="J81" s="31"/>
      <c r="K81" s="31"/>
      <c r="L81" s="31"/>
    </row>
    <row r="82" spans="2:12" ht="52.5" customHeight="1" hidden="1">
      <c r="B82" s="298" t="str">
        <f>IF($F$38=$I$13,"43.  Exhaust temperature (F)","43.  Heat exchanger efficiency (%)")</f>
        <v>43.  Heat exchanger efficiency (%)</v>
      </c>
      <c r="C82" s="299"/>
      <c r="D82" s="300"/>
      <c r="E82" s="206">
        <f>0</f>
        <v>0</v>
      </c>
      <c r="F82" s="206">
        <f>0</f>
        <v>0</v>
      </c>
      <c r="G82" s="168"/>
      <c r="H82" s="166" t="str">
        <f>IF(AND($F$38=$I$12,OR(E82&lt;100*'Case D'!$N$3,F82&lt;100*'Case D'!$N$4)),"Baseline efficiency must be &gt;= 40%; Regenerator efficiency must be &gt;= 65%.",IF(AND($F$38=$I$12,OR(E82&gt;100*'Case D'!$O$4,F82&gt;100*'Case D'!$O$4)),"Baseline efficiency must be &lt;= 95%; Regenerator efficiency must be &lt;= 95%.",IF(OR(E82&gt;$E$22,F82&gt;$E$22),"The heat exchanger outlet temperature cannot exceed the destruction temperature (Line 10)",IF(AND($F$38&lt;&gt;$I$12,OR(E82&lt;100,F82&lt;100)),"Heat exchanger outlet temperature seems low.","Enter efficiencies"))))</f>
        <v>Baseline efficiency must be &gt;= 40%; Regenerator efficiency must be &gt;= 65%.</v>
      </c>
      <c r="I82" s="31"/>
      <c r="J82" s="31"/>
      <c r="K82" s="31"/>
      <c r="L82" s="31"/>
    </row>
    <row r="83" spans="2:12" ht="12.75" hidden="1">
      <c r="B83" s="258" t="s">
        <v>133</v>
      </c>
      <c r="C83" s="258"/>
      <c r="D83" s="258"/>
      <c r="E83" s="141" t="e">
        <f>'Case D'!H27</f>
        <v>#DIV/0!</v>
      </c>
      <c r="F83" s="141" t="e">
        <f>'Case D'!H53</f>
        <v>#DIV/0!</v>
      </c>
      <c r="G83" s="133"/>
      <c r="H83" s="177" t="s">
        <v>145</v>
      </c>
      <c r="I83" s="31"/>
      <c r="J83" s="31"/>
      <c r="K83" s="31"/>
      <c r="L83" s="31"/>
    </row>
    <row r="84" spans="2:12" ht="27" customHeight="1" hidden="1">
      <c r="B84" s="243" t="s">
        <v>134</v>
      </c>
      <c r="C84" s="244"/>
      <c r="D84" s="216"/>
      <c r="E84" s="241" t="e">
        <f>$E$10/E83*8760</f>
        <v>#DIV/0!</v>
      </c>
      <c r="F84" s="242"/>
      <c r="G84" s="176"/>
      <c r="H84" s="165" t="e">
        <f>IF(E84&gt;8760,"6. Annual gas use, seems high.","Calculated")</f>
        <v>#DIV/0!</v>
      </c>
      <c r="I84" s="31"/>
      <c r="J84" s="31"/>
      <c r="K84" s="31"/>
      <c r="L84" s="31"/>
    </row>
    <row r="85" spans="2:12" ht="12.75" hidden="1">
      <c r="B85" s="295" t="s">
        <v>135</v>
      </c>
      <c r="C85" s="295"/>
      <c r="D85" s="295"/>
      <c r="E85" s="231" t="e">
        <f>(E83-F83)/E83</f>
        <v>#DIV/0!</v>
      </c>
      <c r="F85" s="232"/>
      <c r="G85" s="169"/>
      <c r="H85" s="177" t="s">
        <v>145</v>
      </c>
      <c r="I85" s="31"/>
      <c r="J85" s="31"/>
      <c r="K85" s="31"/>
      <c r="L85" s="31"/>
    </row>
    <row r="86" spans="2:12" ht="52.5" customHeight="1" hidden="1">
      <c r="B86" s="223" t="s">
        <v>137</v>
      </c>
      <c r="C86" s="224"/>
      <c r="D86" s="225"/>
      <c r="E86" s="233" t="e">
        <f>E85*$E$10</f>
        <v>#DIV/0!</v>
      </c>
      <c r="F86" s="234"/>
      <c r="G86" s="169"/>
      <c r="H86" s="166" t="e">
        <f>IF('Case D'!$C$43&gt;'Case D'!$N$5,CONCATENATE("Thermal oxidizer temperature (",'Case D'!$K$43,"F) should be lower than ",'Case D'!$N$5,"F"),"Calculated")</f>
        <v>#DIV/0!</v>
      </c>
      <c r="I86" s="31"/>
      <c r="J86" s="31"/>
      <c r="K86" s="31"/>
      <c r="L86" s="31"/>
    </row>
    <row r="87" spans="2:12" ht="12.75" hidden="1">
      <c r="B87" s="126" t="s">
        <v>136</v>
      </c>
      <c r="C87" s="127"/>
      <c r="D87" s="127"/>
      <c r="E87" s="128"/>
      <c r="F87" s="129"/>
      <c r="G87" s="169"/>
      <c r="H87" s="166"/>
      <c r="I87" s="31"/>
      <c r="J87" s="31"/>
      <c r="K87" s="31"/>
      <c r="L87" s="31"/>
    </row>
    <row r="88" spans="2:12" ht="12.75" hidden="1">
      <c r="B88" s="235" t="s">
        <v>138</v>
      </c>
      <c r="C88" s="236"/>
      <c r="D88" s="237"/>
      <c r="E88" s="238"/>
      <c r="F88" s="238"/>
      <c r="G88" s="169"/>
      <c r="H88" s="166" t="s">
        <v>156</v>
      </c>
      <c r="I88" s="31"/>
      <c r="J88" s="31"/>
      <c r="K88" s="31"/>
      <c r="L88" s="31"/>
    </row>
    <row r="89" spans="2:12" ht="12.75" hidden="1">
      <c r="B89" s="223" t="s">
        <v>139</v>
      </c>
      <c r="C89" s="224"/>
      <c r="D89" s="225"/>
      <c r="E89" s="226" t="e">
        <f>E86*E88</f>
        <v>#DIV/0!</v>
      </c>
      <c r="F89" s="227"/>
      <c r="G89" s="169"/>
      <c r="H89" s="177" t="s">
        <v>145</v>
      </c>
      <c r="I89" s="31"/>
      <c r="J89" s="31"/>
      <c r="K89" s="31"/>
      <c r="L89" s="31"/>
    </row>
    <row r="90" spans="2:13" ht="12.75" customHeight="1">
      <c r="B90" s="69" t="s">
        <v>91</v>
      </c>
      <c r="C90" s="57"/>
      <c r="D90" s="57"/>
      <c r="E90" s="58"/>
      <c r="F90" s="58"/>
      <c r="G90" s="58"/>
      <c r="H90" s="62"/>
      <c r="I90" s="31"/>
      <c r="J90" s="31"/>
      <c r="K90" s="31"/>
      <c r="L90" s="31"/>
      <c r="M90" s="27"/>
    </row>
    <row r="91" spans="2:12" ht="12.75">
      <c r="B91" s="59"/>
      <c r="C91" s="60"/>
      <c r="D91" s="60"/>
      <c r="E91" s="61"/>
      <c r="F91" s="61"/>
      <c r="G91" s="61"/>
      <c r="H91" s="62"/>
      <c r="I91" s="31"/>
      <c r="J91" s="31"/>
      <c r="K91" s="31"/>
      <c r="L91" s="31"/>
    </row>
    <row r="92" spans="2:8" ht="15">
      <c r="B92" s="296" t="s">
        <v>92</v>
      </c>
      <c r="C92" s="297"/>
      <c r="D92" s="297"/>
      <c r="E92" s="297"/>
      <c r="F92" s="297"/>
      <c r="G92" s="108"/>
      <c r="H92" s="133"/>
    </row>
    <row r="93" spans="2:12" ht="12.75">
      <c r="B93" s="288" t="s">
        <v>93</v>
      </c>
      <c r="C93" s="289"/>
      <c r="D93" s="289"/>
      <c r="E93" s="289"/>
      <c r="F93" s="289"/>
      <c r="G93" s="84"/>
      <c r="H93" s="62"/>
      <c r="I93" s="31"/>
      <c r="J93" s="31"/>
      <c r="K93" s="31"/>
      <c r="L93" s="31"/>
    </row>
    <row r="94" spans="2:12" ht="12.75">
      <c r="B94" s="82"/>
      <c r="C94" s="83"/>
      <c r="D94" s="83"/>
      <c r="E94" s="83"/>
      <c r="F94" s="83"/>
      <c r="G94" s="84"/>
      <c r="H94" s="62"/>
      <c r="I94" s="31"/>
      <c r="J94" s="31"/>
      <c r="K94" s="31"/>
      <c r="L94" s="31"/>
    </row>
    <row r="95" spans="2:12" ht="12.75">
      <c r="B95" s="85"/>
      <c r="C95" s="22" t="s">
        <v>94</v>
      </c>
      <c r="D95" s="31"/>
      <c r="E95" s="22" t="s">
        <v>95</v>
      </c>
      <c r="F95" s="83"/>
      <c r="G95" s="84"/>
      <c r="H95" s="31"/>
      <c r="I95" s="31"/>
      <c r="J95" s="31"/>
      <c r="K95" s="31"/>
      <c r="L95" s="31"/>
    </row>
    <row r="96" spans="2:12" ht="12.75">
      <c r="B96" s="85"/>
      <c r="C96" s="22"/>
      <c r="D96" s="31"/>
      <c r="E96" s="31"/>
      <c r="F96" s="83"/>
      <c r="G96" s="84"/>
      <c r="H96" s="31"/>
      <c r="I96" s="31"/>
      <c r="J96" s="31"/>
      <c r="K96" s="31"/>
      <c r="L96" s="31"/>
    </row>
    <row r="97" spans="2:12" ht="12.75">
      <c r="B97" s="85"/>
      <c r="C97" s="22" t="s">
        <v>96</v>
      </c>
      <c r="D97" s="22"/>
      <c r="E97" s="22" t="s">
        <v>96</v>
      </c>
      <c r="F97" s="83"/>
      <c r="G97" s="84"/>
      <c r="H97" s="31"/>
      <c r="I97" s="56"/>
      <c r="J97" s="31"/>
      <c r="K97" s="31"/>
      <c r="L97" s="31"/>
    </row>
    <row r="98" spans="2:12" ht="12.75">
      <c r="B98" s="85"/>
      <c r="C98" s="31" t="s">
        <v>97</v>
      </c>
      <c r="D98" s="31"/>
      <c r="E98" s="31" t="s">
        <v>97</v>
      </c>
      <c r="F98" s="83"/>
      <c r="G98" s="84"/>
      <c r="H98" s="31"/>
      <c r="I98" s="31"/>
      <c r="J98" s="31"/>
      <c r="K98" s="31"/>
      <c r="L98" s="31"/>
    </row>
    <row r="99" spans="2:12" ht="12.75">
      <c r="B99" s="85"/>
      <c r="C99" s="31"/>
      <c r="D99" s="31"/>
      <c r="E99" s="31"/>
      <c r="F99" s="83"/>
      <c r="G99" s="84"/>
      <c r="H99" s="31"/>
      <c r="I99" s="31"/>
      <c r="J99" s="31"/>
      <c r="K99" s="31"/>
      <c r="L99" s="31"/>
    </row>
    <row r="100" spans="2:12" ht="12.75">
      <c r="B100" s="85"/>
      <c r="C100" s="22" t="s">
        <v>96</v>
      </c>
      <c r="D100" s="31"/>
      <c r="E100" s="22" t="s">
        <v>96</v>
      </c>
      <c r="F100" s="83"/>
      <c r="G100" s="84"/>
      <c r="H100" s="31"/>
      <c r="I100" s="31"/>
      <c r="J100" s="31"/>
      <c r="K100" s="31"/>
      <c r="L100" s="31"/>
    </row>
    <row r="101" spans="2:12" ht="12.75">
      <c r="B101" s="85"/>
      <c r="C101" s="31" t="s">
        <v>98</v>
      </c>
      <c r="D101" s="31"/>
      <c r="E101" s="31" t="s">
        <v>98</v>
      </c>
      <c r="F101" s="83"/>
      <c r="G101" s="84"/>
      <c r="H101" s="31"/>
      <c r="I101" s="31"/>
      <c r="J101" s="31"/>
      <c r="K101" s="31"/>
      <c r="L101" s="31"/>
    </row>
    <row r="102" spans="2:7" ht="12.75">
      <c r="B102" s="85"/>
      <c r="C102" s="86"/>
      <c r="D102" s="86"/>
      <c r="E102" s="86"/>
      <c r="F102" s="83"/>
      <c r="G102" s="84"/>
    </row>
    <row r="103" spans="2:12" ht="12.75">
      <c r="B103" s="85"/>
      <c r="C103" s="22" t="s">
        <v>96</v>
      </c>
      <c r="D103" s="31"/>
      <c r="E103" s="22" t="s">
        <v>96</v>
      </c>
      <c r="F103" s="83"/>
      <c r="G103" s="84"/>
      <c r="H103" s="31"/>
      <c r="I103" s="31"/>
      <c r="J103" s="31"/>
      <c r="K103" s="31"/>
      <c r="L103" s="31"/>
    </row>
    <row r="104" spans="2:12" ht="12.75">
      <c r="B104" s="85"/>
      <c r="C104" s="31" t="s">
        <v>99</v>
      </c>
      <c r="D104" s="31"/>
      <c r="E104" s="31" t="s">
        <v>99</v>
      </c>
      <c r="F104" s="83"/>
      <c r="G104" s="84"/>
      <c r="H104" s="31"/>
      <c r="I104" s="31"/>
      <c r="J104" s="31"/>
      <c r="K104" s="31"/>
      <c r="L104" s="31"/>
    </row>
    <row r="105" spans="2:12" ht="12.75">
      <c r="B105" s="87"/>
      <c r="C105" s="83"/>
      <c r="D105" s="83"/>
      <c r="E105" s="83"/>
      <c r="F105" s="83"/>
      <c r="G105" s="84"/>
      <c r="H105" s="31"/>
      <c r="I105" s="31"/>
      <c r="J105" s="31"/>
      <c r="K105" s="31"/>
      <c r="L105" s="31"/>
    </row>
    <row r="106" spans="2:12" ht="12.75">
      <c r="B106" s="88"/>
      <c r="C106" s="89"/>
      <c r="D106" s="89"/>
      <c r="E106" s="89"/>
      <c r="F106" s="89"/>
      <c r="G106" s="90"/>
      <c r="H106" s="31"/>
      <c r="I106" s="31"/>
      <c r="J106" s="31"/>
      <c r="K106" s="31"/>
      <c r="L106" s="31"/>
    </row>
    <row r="107" spans="2:12" ht="70.5" customHeight="1">
      <c r="B107" s="290" t="s">
        <v>45</v>
      </c>
      <c r="C107" s="291"/>
      <c r="D107" s="291"/>
      <c r="E107" s="291"/>
      <c r="F107" s="291"/>
      <c r="G107" s="81"/>
      <c r="H107" s="31"/>
      <c r="I107" s="31"/>
      <c r="J107" s="31"/>
      <c r="K107" s="31"/>
      <c r="L107" s="31"/>
    </row>
    <row r="108" spans="2:12" ht="12.75">
      <c r="B108" s="56"/>
      <c r="C108" s="30"/>
      <c r="D108" s="56"/>
      <c r="E108" s="31"/>
      <c r="F108" s="30"/>
      <c r="G108" s="31"/>
      <c r="H108" s="31"/>
      <c r="I108" s="31"/>
      <c r="J108" s="31"/>
      <c r="K108" s="31"/>
      <c r="L108" s="31"/>
    </row>
    <row r="109" spans="2:12" ht="12.75">
      <c r="B109" s="56"/>
      <c r="C109" s="30"/>
      <c r="D109" s="56"/>
      <c r="E109" s="31"/>
      <c r="F109" s="30"/>
      <c r="G109" s="31"/>
      <c r="H109" s="31"/>
      <c r="I109" s="31"/>
      <c r="J109" s="31"/>
      <c r="K109" s="31"/>
      <c r="L109" s="31"/>
    </row>
    <row r="110" spans="2:12" ht="12.75">
      <c r="B110" s="56"/>
      <c r="C110" s="30"/>
      <c r="D110" s="56"/>
      <c r="E110" s="31"/>
      <c r="F110" s="30"/>
      <c r="G110" s="31"/>
      <c r="H110" s="31"/>
      <c r="I110" s="31"/>
      <c r="J110" s="31"/>
      <c r="K110" s="31"/>
      <c r="L110" s="31"/>
    </row>
    <row r="111" spans="2:12" ht="12.75">
      <c r="B111" s="56"/>
      <c r="C111" s="30"/>
      <c r="D111" s="56"/>
      <c r="E111" s="31"/>
      <c r="F111" s="30"/>
      <c r="G111" s="31"/>
      <c r="H111" s="31"/>
      <c r="I111" s="31"/>
      <c r="J111" s="31"/>
      <c r="K111" s="31"/>
      <c r="L111" s="31"/>
    </row>
    <row r="112" spans="2:12" ht="12.75">
      <c r="B112" s="56"/>
      <c r="C112" s="30"/>
      <c r="D112" s="56"/>
      <c r="E112" s="31"/>
      <c r="F112" s="30"/>
      <c r="G112" s="31"/>
      <c r="H112" s="31"/>
      <c r="I112" s="31"/>
      <c r="J112" s="31"/>
      <c r="K112" s="31"/>
      <c r="L112" s="31"/>
    </row>
    <row r="113" spans="2:12" ht="12.75">
      <c r="B113" s="56"/>
      <c r="C113" s="30"/>
      <c r="D113" s="56"/>
      <c r="E113" s="31"/>
      <c r="F113" s="30"/>
      <c r="G113" s="31"/>
      <c r="H113" s="31"/>
      <c r="I113" s="31"/>
      <c r="J113" s="31"/>
      <c r="K113" s="31"/>
      <c r="L113" s="31"/>
    </row>
    <row r="114" spans="2:12" ht="12.75">
      <c r="B114" s="56"/>
      <c r="C114" s="30"/>
      <c r="D114" s="56"/>
      <c r="E114" s="31"/>
      <c r="F114" s="30"/>
      <c r="G114" s="31"/>
      <c r="H114" s="31"/>
      <c r="I114" s="31"/>
      <c r="J114" s="31"/>
      <c r="K114" s="31"/>
      <c r="L114" s="31"/>
    </row>
    <row r="115" spans="2:12" ht="12.75">
      <c r="B115" s="56"/>
      <c r="C115" s="30"/>
      <c r="D115" s="56"/>
      <c r="E115" s="31"/>
      <c r="F115" s="30"/>
      <c r="G115" s="31"/>
      <c r="H115" s="31"/>
      <c r="I115" s="31"/>
      <c r="J115" s="31"/>
      <c r="K115" s="31"/>
      <c r="L115" s="31"/>
    </row>
    <row r="116" spans="2:12" ht="12.75">
      <c r="B116" s="56"/>
      <c r="C116" s="30"/>
      <c r="D116" s="56"/>
      <c r="E116" s="31"/>
      <c r="F116" s="30"/>
      <c r="G116" s="31"/>
      <c r="H116" s="31"/>
      <c r="I116" s="31"/>
      <c r="J116" s="31"/>
      <c r="K116" s="31"/>
      <c r="L116" s="31"/>
    </row>
    <row r="117" spans="2:12" ht="12.75">
      <c r="B117" s="56"/>
      <c r="C117" s="30"/>
      <c r="D117" s="56"/>
      <c r="E117" s="31"/>
      <c r="F117" s="30"/>
      <c r="G117" s="31"/>
      <c r="H117" s="31"/>
      <c r="I117" s="31"/>
      <c r="J117" s="31"/>
      <c r="K117" s="31"/>
      <c r="L117" s="31"/>
    </row>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sheetData>
  <sheetProtection selectLockedCells="1"/>
  <mergeCells count="97">
    <mergeCell ref="E55:F55"/>
    <mergeCell ref="B59:D59"/>
    <mergeCell ref="B85:D85"/>
    <mergeCell ref="B62:D62"/>
    <mergeCell ref="B71:D71"/>
    <mergeCell ref="B68:G68"/>
    <mergeCell ref="B80:D80"/>
    <mergeCell ref="B70:D70"/>
    <mergeCell ref="B82:D82"/>
    <mergeCell ref="B83:D83"/>
    <mergeCell ref="B93:F93"/>
    <mergeCell ref="B107:F107"/>
    <mergeCell ref="B50:D50"/>
    <mergeCell ref="B61:D61"/>
    <mergeCell ref="B63:D63"/>
    <mergeCell ref="B81:D81"/>
    <mergeCell ref="B74:D74"/>
    <mergeCell ref="B86:D86"/>
    <mergeCell ref="B92:F92"/>
    <mergeCell ref="E56:F56"/>
    <mergeCell ref="B72:D72"/>
    <mergeCell ref="B78:D78"/>
    <mergeCell ref="B60:D60"/>
    <mergeCell ref="B66:D66"/>
    <mergeCell ref="B67:D67"/>
    <mergeCell ref="B73:D73"/>
    <mergeCell ref="E66:F66"/>
    <mergeCell ref="E67:F67"/>
    <mergeCell ref="E64:F64"/>
    <mergeCell ref="B3:F3"/>
    <mergeCell ref="B4:D4"/>
    <mergeCell ref="E4:F4"/>
    <mergeCell ref="B5:D5"/>
    <mergeCell ref="E5:F5"/>
    <mergeCell ref="B6:D6"/>
    <mergeCell ref="E6:F6"/>
    <mergeCell ref="B7:D7"/>
    <mergeCell ref="E7:F7"/>
    <mergeCell ref="C13:F13"/>
    <mergeCell ref="B49:D49"/>
    <mergeCell ref="B15:D15"/>
    <mergeCell ref="F27:G27"/>
    <mergeCell ref="C16:D16"/>
    <mergeCell ref="C17:D17"/>
    <mergeCell ref="B8:D8"/>
    <mergeCell ref="E8:F8"/>
    <mergeCell ref="B9:F9"/>
    <mergeCell ref="E10:F10"/>
    <mergeCell ref="B10:D10"/>
    <mergeCell ref="B11:F11"/>
    <mergeCell ref="B12:D12"/>
    <mergeCell ref="E12:F12"/>
    <mergeCell ref="C18:D18"/>
    <mergeCell ref="C19:D19"/>
    <mergeCell ref="F15:G15"/>
    <mergeCell ref="C20:D20"/>
    <mergeCell ref="B21:D21"/>
    <mergeCell ref="B22:D22"/>
    <mergeCell ref="B23:D23"/>
    <mergeCell ref="B24:D24"/>
    <mergeCell ref="B25:D25"/>
    <mergeCell ref="D27:E27"/>
    <mergeCell ref="B26:G26"/>
    <mergeCell ref="B38:E38"/>
    <mergeCell ref="F38:G38"/>
    <mergeCell ref="B36:E36"/>
    <mergeCell ref="B37:E37"/>
    <mergeCell ref="B34:G34"/>
    <mergeCell ref="E51:F51"/>
    <mergeCell ref="E62:F62"/>
    <mergeCell ref="E63:F63"/>
    <mergeCell ref="B46:G46"/>
    <mergeCell ref="B57:G57"/>
    <mergeCell ref="B52:D52"/>
    <mergeCell ref="B48:D48"/>
    <mergeCell ref="E52:F52"/>
    <mergeCell ref="E53:F53"/>
    <mergeCell ref="B55:D55"/>
    <mergeCell ref="E84:F84"/>
    <mergeCell ref="B84:D84"/>
    <mergeCell ref="E73:F73"/>
    <mergeCell ref="B58:D58"/>
    <mergeCell ref="E75:F75"/>
    <mergeCell ref="B77:D77"/>
    <mergeCell ref="E77:F77"/>
    <mergeCell ref="B79:G79"/>
    <mergeCell ref="B69:D69"/>
    <mergeCell ref="B89:D89"/>
    <mergeCell ref="E89:F89"/>
    <mergeCell ref="B47:D47"/>
    <mergeCell ref="E85:F85"/>
    <mergeCell ref="E86:F86"/>
    <mergeCell ref="B88:D88"/>
    <mergeCell ref="E88:F88"/>
    <mergeCell ref="E78:F78"/>
    <mergeCell ref="B75:D75"/>
    <mergeCell ref="E74:F74"/>
  </mergeCells>
  <conditionalFormatting sqref="E25">
    <cfRule type="expression" priority="1" dxfId="0" stopIfTrue="1">
      <formula>(E12=I16)</formula>
    </cfRule>
    <cfRule type="expression" priority="2" dxfId="1" stopIfTrue="1">
      <formula>(E12&lt;&gt;I16)</formula>
    </cfRule>
  </conditionalFormatting>
  <conditionalFormatting sqref="C13:F13">
    <cfRule type="expression" priority="3" dxfId="2" stopIfTrue="1">
      <formula>(E12=I16)</formula>
    </cfRule>
  </conditionalFormatting>
  <conditionalFormatting sqref="H51 H62 H73 H84">
    <cfRule type="expression" priority="4" dxfId="2" stopIfTrue="1">
      <formula>E51&gt;8760</formula>
    </cfRule>
  </conditionalFormatting>
  <conditionalFormatting sqref="H5:H8 H30:H31">
    <cfRule type="expression" priority="5" dxfId="2" stopIfTrue="1">
      <formula>#REF!&lt;=0</formula>
    </cfRule>
  </conditionalFormatting>
  <conditionalFormatting sqref="H53 H64 H75 H86">
    <cfRule type="cellIs" priority="6" dxfId="2" operator="notEqual" stopIfTrue="1">
      <formula>"Calculated"</formula>
    </cfRule>
  </conditionalFormatting>
  <conditionalFormatting sqref="H49 H71">
    <cfRule type="cellIs" priority="7" dxfId="2" operator="notEqual" stopIfTrue="1">
      <formula>"Enter efficiency"</formula>
    </cfRule>
  </conditionalFormatting>
  <conditionalFormatting sqref="E62:F62 E51:F51 E73:F73 E84:F84">
    <cfRule type="cellIs" priority="8" dxfId="2" operator="greaterThan" stopIfTrue="1">
      <formula>8760</formula>
    </cfRule>
  </conditionalFormatting>
  <conditionalFormatting sqref="H60 H82">
    <cfRule type="cellIs" priority="9" dxfId="2" operator="notEqual" stopIfTrue="1">
      <formula>"Enter efficiencies"</formula>
    </cfRule>
  </conditionalFormatting>
  <printOptions horizontalCentered="1"/>
  <pageMargins left="0.25" right="0.25" top="1" bottom="1" header="0.5" footer="0.5"/>
  <pageSetup fitToHeight="0" fitToWidth="1" horizontalDpi="600" verticalDpi="600" orientation="portrait" scale="90" r:id="rId4"/>
  <headerFooter alignWithMargins="0">
    <oddFooter>&amp;L&amp;"Arial,Italic"&amp;F / &amp;A&amp;C&amp;"Arial,Italic"&amp;P of &amp;N&amp;R&amp;"Arial,Italic"&amp;D</oddFooter>
  </headerFooter>
  <rowBreaks count="1" manualBreakCount="1">
    <brk id="39" min="1" max="6" man="1"/>
  </rowBreaks>
  <drawing r:id="rId3"/>
  <legacyDrawing r:id="rId2"/>
</worksheet>
</file>

<file path=xl/worksheets/sheet2.xml><?xml version="1.0" encoding="utf-8"?>
<worksheet xmlns="http://schemas.openxmlformats.org/spreadsheetml/2006/main" xmlns:r="http://schemas.openxmlformats.org/officeDocument/2006/relationships">
  <sheetPr codeName="Sheet3"/>
  <dimension ref="A1:G229"/>
  <sheetViews>
    <sheetView showGridLines="0" workbookViewId="0" topLeftCell="A232">
      <selection activeCell="F227" sqref="F227"/>
    </sheetView>
  </sheetViews>
  <sheetFormatPr defaultColWidth="9.140625" defaultRowHeight="12.75"/>
  <cols>
    <col min="1" max="3" width="7.7109375" style="0" customWidth="1"/>
    <col min="4" max="4" width="68.421875" style="0" customWidth="1"/>
  </cols>
  <sheetData>
    <row r="1" spans="1:4" ht="70.5">
      <c r="A1" s="178"/>
      <c r="B1" s="179"/>
      <c r="C1" s="179"/>
      <c r="D1" s="180" t="s">
        <v>158</v>
      </c>
    </row>
    <row r="2" spans="1:4" ht="35.25">
      <c r="A2" s="178"/>
      <c r="B2" s="179"/>
      <c r="C2" s="179"/>
      <c r="D2" s="180" t="s">
        <v>159</v>
      </c>
    </row>
    <row r="3" spans="1:5" s="33" customFormat="1" ht="12.75" customHeight="1">
      <c r="A3" s="181"/>
      <c r="B3" s="182"/>
      <c r="C3" s="182"/>
      <c r="D3" s="310"/>
      <c r="E3" s="310"/>
    </row>
    <row r="4" spans="1:5" s="33" customFormat="1" ht="15" customHeight="1">
      <c r="A4" s="34"/>
      <c r="B4" s="162"/>
      <c r="C4" s="162"/>
      <c r="D4" s="163"/>
      <c r="E4" s="163"/>
    </row>
    <row r="5" spans="1:5" s="33" customFormat="1" ht="15" customHeight="1">
      <c r="A5" s="34"/>
      <c r="B5" s="162"/>
      <c r="C5" s="162"/>
      <c r="D5" s="163"/>
      <c r="E5" s="163"/>
    </row>
    <row r="6" spans="1:5" s="33" customFormat="1" ht="15" customHeight="1">
      <c r="A6" s="34"/>
      <c r="B6" s="183" t="s">
        <v>47</v>
      </c>
      <c r="C6" s="162"/>
      <c r="D6" s="163"/>
      <c r="E6" s="163"/>
    </row>
    <row r="7" spans="1:5" s="33" customFormat="1" ht="15" customHeight="1">
      <c r="A7" s="184" t="s">
        <v>71</v>
      </c>
      <c r="B7" s="185"/>
      <c r="C7" s="185"/>
      <c r="D7" s="35"/>
      <c r="E7" s="163"/>
    </row>
    <row r="8" spans="1:5" s="33" customFormat="1" ht="15" customHeight="1">
      <c r="A8" s="34"/>
      <c r="B8" s="162"/>
      <c r="C8" s="309" t="s">
        <v>160</v>
      </c>
      <c r="D8" s="309"/>
      <c r="E8" s="163"/>
    </row>
    <row r="9" spans="1:5" s="33" customFormat="1" ht="15" customHeight="1">
      <c r="A9" s="34"/>
      <c r="B9" s="162"/>
      <c r="C9" s="309" t="s">
        <v>161</v>
      </c>
      <c r="D9" s="309"/>
      <c r="E9" s="163"/>
    </row>
    <row r="10" spans="1:5" s="33" customFormat="1" ht="15" customHeight="1">
      <c r="A10" s="34"/>
      <c r="B10" s="162"/>
      <c r="C10" s="309" t="s">
        <v>162</v>
      </c>
      <c r="D10" s="309"/>
      <c r="E10" s="163"/>
    </row>
    <row r="11" spans="1:5" s="33" customFormat="1" ht="15" customHeight="1">
      <c r="A11" s="34"/>
      <c r="B11" s="162"/>
      <c r="C11" s="309" t="s">
        <v>163</v>
      </c>
      <c r="D11" s="309"/>
      <c r="E11" s="163"/>
    </row>
    <row r="12" spans="1:5" s="33" customFormat="1" ht="15" customHeight="1">
      <c r="A12" s="34"/>
      <c r="B12" s="162"/>
      <c r="C12" s="309" t="s">
        <v>164</v>
      </c>
      <c r="D12" s="309"/>
      <c r="E12" s="163"/>
    </row>
    <row r="13" spans="1:5" s="33" customFormat="1" ht="15" customHeight="1">
      <c r="A13" s="184" t="s">
        <v>79</v>
      </c>
      <c r="B13" s="162"/>
      <c r="C13" s="162"/>
      <c r="D13" s="163"/>
      <c r="E13" s="163"/>
    </row>
    <row r="14" spans="1:5" s="33" customFormat="1" ht="30" customHeight="1">
      <c r="A14" s="34"/>
      <c r="B14" s="162"/>
      <c r="C14" s="309" t="s">
        <v>175</v>
      </c>
      <c r="D14" s="309"/>
      <c r="E14" s="163"/>
    </row>
    <row r="15" spans="1:3" s="35" customFormat="1" ht="12" customHeight="1">
      <c r="A15" s="184" t="s">
        <v>64</v>
      </c>
      <c r="B15" s="185"/>
      <c r="C15" s="185"/>
    </row>
    <row r="16" spans="1:3" s="35" customFormat="1" ht="12.75" customHeight="1">
      <c r="A16" s="184"/>
      <c r="B16" s="186" t="s">
        <v>48</v>
      </c>
      <c r="C16" s="185"/>
    </row>
    <row r="17" spans="1:4" s="35" customFormat="1" ht="121.5" customHeight="1">
      <c r="A17" s="184"/>
      <c r="B17" s="186"/>
      <c r="C17" s="309" t="s">
        <v>176</v>
      </c>
      <c r="D17" s="309"/>
    </row>
    <row r="18" spans="1:6" s="35" customFormat="1" ht="30" customHeight="1">
      <c r="A18" s="187"/>
      <c r="C18" s="289" t="s">
        <v>53</v>
      </c>
      <c r="D18" s="289"/>
      <c r="E18" s="30"/>
      <c r="F18" s="32"/>
    </row>
    <row r="19" spans="1:4" s="35" customFormat="1" ht="56.25" customHeight="1">
      <c r="A19" s="187"/>
      <c r="B19" s="186"/>
      <c r="C19" s="309" t="s">
        <v>177</v>
      </c>
      <c r="D19" s="309"/>
    </row>
    <row r="20" spans="1:4" s="35" customFormat="1" ht="30" customHeight="1">
      <c r="A20" s="187"/>
      <c r="B20" s="186"/>
      <c r="C20" s="309" t="s">
        <v>165</v>
      </c>
      <c r="D20" s="309"/>
    </row>
    <row r="21" spans="1:7" s="35" customFormat="1" ht="12.75" customHeight="1">
      <c r="A21" s="187"/>
      <c r="B21" s="186"/>
      <c r="C21" s="289" t="s">
        <v>52</v>
      </c>
      <c r="D21" s="289"/>
      <c r="E21" s="289"/>
      <c r="F21" s="289"/>
      <c r="G21" s="289"/>
    </row>
    <row r="22" spans="1:7" s="35" customFormat="1" ht="54" customHeight="1">
      <c r="A22" s="187"/>
      <c r="B22" s="186"/>
      <c r="C22" s="289" t="s">
        <v>179</v>
      </c>
      <c r="D22" s="289"/>
      <c r="E22" s="30"/>
      <c r="F22" s="30"/>
      <c r="G22" s="30"/>
    </row>
    <row r="23" spans="2:4" s="35" customFormat="1" ht="12.75">
      <c r="B23" s="183" t="s">
        <v>49</v>
      </c>
      <c r="C23" s="185"/>
      <c r="D23" s="188"/>
    </row>
    <row r="24" spans="2:7" s="35" customFormat="1" ht="24" customHeight="1">
      <c r="B24" s="183"/>
      <c r="C24" s="308" t="s">
        <v>180</v>
      </c>
      <c r="D24" s="308"/>
      <c r="E24" s="194"/>
      <c r="F24" s="194"/>
      <c r="G24" s="194"/>
    </row>
    <row r="25" spans="2:7" s="35" customFormat="1" ht="41.25" customHeight="1">
      <c r="B25" s="183"/>
      <c r="C25" s="308" t="s">
        <v>181</v>
      </c>
      <c r="D25" s="308"/>
      <c r="E25" s="194"/>
      <c r="F25" s="194"/>
      <c r="G25" s="194"/>
    </row>
    <row r="26" spans="1:3" s="35" customFormat="1" ht="12.75" customHeight="1">
      <c r="A26" s="184" t="s">
        <v>166</v>
      </c>
      <c r="B26" s="185"/>
      <c r="C26" s="185"/>
    </row>
    <row r="27" spans="1:6" s="35" customFormat="1" ht="83.25" customHeight="1">
      <c r="A27" s="187"/>
      <c r="B27" s="185"/>
      <c r="C27" s="309" t="s">
        <v>205</v>
      </c>
      <c r="D27" s="309"/>
      <c r="E27" s="189"/>
      <c r="F27" s="189"/>
    </row>
    <row r="28" spans="1:3" s="35" customFormat="1" ht="12.75" customHeight="1">
      <c r="A28" s="184" t="s">
        <v>54</v>
      </c>
      <c r="B28" s="185"/>
      <c r="C28" s="185"/>
    </row>
    <row r="29" spans="1:2" s="35" customFormat="1" ht="12.75" customHeight="1">
      <c r="A29" s="184"/>
      <c r="B29" s="183" t="s">
        <v>65</v>
      </c>
    </row>
    <row r="30" spans="1:6" s="35" customFormat="1" ht="44.25" customHeight="1">
      <c r="A30" s="184"/>
      <c r="B30" s="185"/>
      <c r="C30" s="306" t="s">
        <v>182</v>
      </c>
      <c r="D30" s="306"/>
      <c r="E30" s="50"/>
      <c r="F30" s="32"/>
    </row>
    <row r="31" spans="1:6" s="35" customFormat="1" ht="32.25" customHeight="1">
      <c r="A31" s="184"/>
      <c r="B31" s="185"/>
      <c r="C31" s="306" t="s">
        <v>206</v>
      </c>
      <c r="D31" s="306"/>
      <c r="E31" s="50"/>
      <c r="F31" s="32"/>
    </row>
    <row r="32" spans="1:6" s="35" customFormat="1" ht="84.75" customHeight="1">
      <c r="A32" s="184"/>
      <c r="B32" s="185"/>
      <c r="C32" s="307" t="s">
        <v>183</v>
      </c>
      <c r="D32" s="307"/>
      <c r="E32" s="190"/>
      <c r="F32" s="189"/>
    </row>
    <row r="33" spans="1:3" s="35" customFormat="1" ht="12.75" customHeight="1">
      <c r="A33" s="184" t="s">
        <v>50</v>
      </c>
      <c r="B33" s="185"/>
      <c r="C33" s="185"/>
    </row>
    <row r="34" spans="1:3" s="35" customFormat="1" ht="12.75" customHeight="1">
      <c r="A34" s="191"/>
      <c r="B34" s="35" t="s">
        <v>46</v>
      </c>
      <c r="C34" s="189"/>
    </row>
    <row r="35" spans="1:4" s="35" customFormat="1" ht="25.5" customHeight="1">
      <c r="A35" s="191"/>
      <c r="C35" s="307" t="s">
        <v>184</v>
      </c>
      <c r="D35" s="307"/>
    </row>
    <row r="36" spans="1:4" s="35" customFormat="1" ht="42" customHeight="1">
      <c r="A36" s="191"/>
      <c r="C36" s="304" t="s">
        <v>51</v>
      </c>
      <c r="D36" s="304"/>
    </row>
    <row r="37" spans="1:4" s="35" customFormat="1" ht="42" customHeight="1">
      <c r="A37" s="191"/>
      <c r="C37" s="305" t="s">
        <v>185</v>
      </c>
      <c r="D37" s="305"/>
    </row>
    <row r="38" spans="1:4" s="35" customFormat="1" ht="69" customHeight="1">
      <c r="A38" s="191"/>
      <c r="C38" s="304" t="s">
        <v>186</v>
      </c>
      <c r="D38" s="304"/>
    </row>
    <row r="39" spans="1:5" s="35" customFormat="1" ht="30" customHeight="1">
      <c r="A39" s="302" t="s">
        <v>40</v>
      </c>
      <c r="B39" s="302"/>
      <c r="C39" s="302"/>
      <c r="D39" s="302"/>
      <c r="E39" s="192"/>
    </row>
    <row r="40" spans="2:4" s="35" customFormat="1" ht="12.75">
      <c r="B40" s="186" t="s">
        <v>48</v>
      </c>
      <c r="D40" s="188"/>
    </row>
    <row r="41" spans="3:5" s="35" customFormat="1" ht="27" customHeight="1">
      <c r="C41" s="301" t="s">
        <v>187</v>
      </c>
      <c r="D41" s="301"/>
      <c r="E41" s="188"/>
    </row>
    <row r="42" spans="3:6" s="35" customFormat="1" ht="81" customHeight="1">
      <c r="C42" s="301" t="s">
        <v>188</v>
      </c>
      <c r="D42" s="301"/>
      <c r="E42" s="188"/>
      <c r="F42" s="188"/>
    </row>
    <row r="43" spans="2:4" s="35" customFormat="1" ht="12.75">
      <c r="B43" s="183" t="s">
        <v>55</v>
      </c>
      <c r="C43" s="185"/>
      <c r="D43" s="188"/>
    </row>
    <row r="44" spans="3:4" s="35" customFormat="1" ht="25.5" customHeight="1">
      <c r="C44" s="301" t="s">
        <v>189</v>
      </c>
      <c r="D44" s="301"/>
    </row>
    <row r="45" spans="3:4" s="35" customFormat="1" ht="54" customHeight="1">
      <c r="C45" s="301" t="s">
        <v>167</v>
      </c>
      <c r="D45" s="301"/>
    </row>
    <row r="46" spans="3:4" s="35" customFormat="1" ht="27" customHeight="1">
      <c r="C46" s="303" t="s">
        <v>190</v>
      </c>
      <c r="D46" s="303"/>
    </row>
    <row r="47" spans="3:4" s="35" customFormat="1" ht="27.75" customHeight="1">
      <c r="C47" s="301" t="s">
        <v>168</v>
      </c>
      <c r="D47" s="301"/>
    </row>
    <row r="48" spans="3:4" s="35" customFormat="1" ht="20.25" customHeight="1">
      <c r="C48" s="301" t="s">
        <v>191</v>
      </c>
      <c r="D48" s="301"/>
    </row>
    <row r="49" spans="3:4" s="35" customFormat="1" ht="27" customHeight="1">
      <c r="C49" s="301" t="s">
        <v>169</v>
      </c>
      <c r="D49" s="301"/>
    </row>
    <row r="50" spans="3:4" s="35" customFormat="1" ht="17.25" customHeight="1">
      <c r="C50" s="193"/>
      <c r="D50" s="193"/>
    </row>
    <row r="51" spans="3:4" s="35" customFormat="1" ht="17.25" customHeight="1">
      <c r="C51" s="193"/>
      <c r="D51" s="193"/>
    </row>
    <row r="52" spans="3:4" s="35" customFormat="1" ht="17.25" customHeight="1">
      <c r="C52" s="193"/>
      <c r="D52" s="193"/>
    </row>
    <row r="53" spans="3:4" s="35" customFormat="1" ht="17.25" customHeight="1">
      <c r="C53" s="193"/>
      <c r="D53" s="193"/>
    </row>
    <row r="54" spans="3:4" s="35" customFormat="1" ht="17.25" customHeight="1">
      <c r="C54" s="193"/>
      <c r="D54" s="193"/>
    </row>
    <row r="55" spans="3:4" s="35" customFormat="1" ht="17.25" customHeight="1">
      <c r="C55" s="193"/>
      <c r="D55" s="193"/>
    </row>
    <row r="56" spans="3:4" s="35" customFormat="1" ht="17.25" customHeight="1">
      <c r="C56" s="193"/>
      <c r="D56" s="193"/>
    </row>
    <row r="57" spans="3:4" s="35" customFormat="1" ht="17.25" customHeight="1">
      <c r="C57" s="193"/>
      <c r="D57" s="193"/>
    </row>
    <row r="58" spans="3:4" s="35" customFormat="1" ht="17.25" customHeight="1">
      <c r="C58" s="193"/>
      <c r="D58" s="193"/>
    </row>
    <row r="59" spans="3:4" s="35" customFormat="1" ht="17.25" customHeight="1">
      <c r="C59" s="193"/>
      <c r="D59" s="193"/>
    </row>
    <row r="60" spans="3:4" s="35" customFormat="1" ht="17.25" customHeight="1">
      <c r="C60" s="193"/>
      <c r="D60" s="193"/>
    </row>
    <row r="61" spans="3:4" s="35" customFormat="1" ht="17.25" customHeight="1">
      <c r="C61" s="193"/>
      <c r="D61" s="193"/>
    </row>
    <row r="62" spans="3:4" s="35" customFormat="1" ht="17.25" customHeight="1">
      <c r="C62" s="193"/>
      <c r="D62" s="193"/>
    </row>
    <row r="63" spans="3:4" s="35" customFormat="1" ht="17.25" customHeight="1">
      <c r="C63" s="193"/>
      <c r="D63" s="193"/>
    </row>
    <row r="64" spans="3:4" s="35" customFormat="1" ht="17.25" customHeight="1">
      <c r="C64" s="193"/>
      <c r="D64" s="193"/>
    </row>
    <row r="65" spans="3:4" s="35" customFormat="1" ht="17.25" customHeight="1">
      <c r="C65" s="193"/>
      <c r="D65" s="193"/>
    </row>
    <row r="66" spans="3:4" s="35" customFormat="1" ht="17.25" customHeight="1">
      <c r="C66" s="193"/>
      <c r="D66" s="193"/>
    </row>
    <row r="67" spans="3:4" s="35" customFormat="1" ht="17.25" customHeight="1">
      <c r="C67" s="193"/>
      <c r="D67" s="193"/>
    </row>
    <row r="68" spans="3:4" s="35" customFormat="1" ht="17.25" customHeight="1">
      <c r="C68" s="193"/>
      <c r="D68" s="193"/>
    </row>
    <row r="69" spans="3:4" s="35" customFormat="1" ht="17.25" customHeight="1">
      <c r="C69" s="193"/>
      <c r="D69" s="193"/>
    </row>
    <row r="70" spans="3:4" s="35" customFormat="1" ht="17.25" customHeight="1">
      <c r="C70" s="193"/>
      <c r="D70" s="193"/>
    </row>
    <row r="71" spans="3:4" s="35" customFormat="1" ht="17.25" customHeight="1">
      <c r="C71" s="193"/>
      <c r="D71" s="193"/>
    </row>
    <row r="72" spans="3:4" s="35" customFormat="1" ht="17.25" customHeight="1">
      <c r="C72" s="193"/>
      <c r="D72" s="193"/>
    </row>
    <row r="73" spans="3:4" s="35" customFormat="1" ht="17.25" customHeight="1">
      <c r="C73" s="193"/>
      <c r="D73" s="193"/>
    </row>
    <row r="74" spans="3:4" s="35" customFormat="1" ht="17.25" customHeight="1">
      <c r="C74" s="193"/>
      <c r="D74" s="193"/>
    </row>
    <row r="75" spans="3:4" s="35" customFormat="1" ht="17.25" customHeight="1">
      <c r="C75" s="193"/>
      <c r="D75" s="193"/>
    </row>
    <row r="76" spans="3:4" s="35" customFormat="1" ht="17.25" customHeight="1">
      <c r="C76" s="193"/>
      <c r="D76" s="193"/>
    </row>
    <row r="77" spans="3:4" s="35" customFormat="1" ht="17.25" customHeight="1">
      <c r="C77" s="193"/>
      <c r="D77" s="193"/>
    </row>
    <row r="78" spans="3:4" s="35" customFormat="1" ht="17.25" customHeight="1">
      <c r="C78" s="193"/>
      <c r="D78" s="193"/>
    </row>
    <row r="79" spans="3:4" s="35" customFormat="1" ht="17.25" customHeight="1">
      <c r="C79" s="193"/>
      <c r="D79" s="193"/>
    </row>
    <row r="80" spans="3:4" s="35" customFormat="1" ht="17.25" customHeight="1">
      <c r="C80" s="193"/>
      <c r="D80" s="193"/>
    </row>
    <row r="81" spans="3:4" s="35" customFormat="1" ht="17.25" customHeight="1">
      <c r="C81" s="193"/>
      <c r="D81" s="193"/>
    </row>
    <row r="82" spans="3:4" s="35" customFormat="1" ht="17.25" customHeight="1">
      <c r="C82" s="193"/>
      <c r="D82" s="193"/>
    </row>
    <row r="83" spans="3:4" s="35" customFormat="1" ht="17.25" customHeight="1">
      <c r="C83" s="193"/>
      <c r="D83" s="193"/>
    </row>
    <row r="84" spans="3:4" s="35" customFormat="1" ht="17.25" customHeight="1">
      <c r="C84" s="193"/>
      <c r="D84" s="193"/>
    </row>
    <row r="85" spans="3:4" s="35" customFormat="1" ht="17.25" customHeight="1">
      <c r="C85" s="193"/>
      <c r="D85" s="193"/>
    </row>
    <row r="86" spans="3:4" s="35" customFormat="1" ht="17.25" customHeight="1">
      <c r="C86" s="193"/>
      <c r="D86" s="193"/>
    </row>
    <row r="87" spans="3:4" s="35" customFormat="1" ht="17.25" customHeight="1">
      <c r="C87" s="193"/>
      <c r="D87" s="193"/>
    </row>
    <row r="88" spans="3:4" s="35" customFormat="1" ht="17.25" customHeight="1">
      <c r="C88" s="193"/>
      <c r="D88" s="193"/>
    </row>
    <row r="89" spans="3:4" s="35" customFormat="1" ht="17.25" customHeight="1">
      <c r="C89" s="193"/>
      <c r="D89" s="193"/>
    </row>
    <row r="90" spans="3:4" s="35" customFormat="1" ht="17.25" customHeight="1">
      <c r="C90" s="193"/>
      <c r="D90" s="193"/>
    </row>
    <row r="91" spans="3:4" s="35" customFormat="1" ht="17.25" customHeight="1">
      <c r="C91" s="193"/>
      <c r="D91" s="193"/>
    </row>
    <row r="92" spans="3:4" s="35" customFormat="1" ht="17.25" customHeight="1">
      <c r="C92" s="193"/>
      <c r="D92" s="193"/>
    </row>
    <row r="93" spans="3:4" s="35" customFormat="1" ht="17.25" customHeight="1">
      <c r="C93" s="193"/>
      <c r="D93" s="193"/>
    </row>
    <row r="94" spans="3:4" s="35" customFormat="1" ht="17.25" customHeight="1">
      <c r="C94" s="193"/>
      <c r="D94" s="193"/>
    </row>
    <row r="95" spans="3:4" s="35" customFormat="1" ht="17.25" customHeight="1">
      <c r="C95" s="193"/>
      <c r="D95" s="193"/>
    </row>
    <row r="96" spans="3:4" s="35" customFormat="1" ht="17.25" customHeight="1">
      <c r="C96" s="193"/>
      <c r="D96" s="193"/>
    </row>
    <row r="97" spans="1:5" s="35" customFormat="1" ht="33" customHeight="1">
      <c r="A97" s="302" t="s">
        <v>41</v>
      </c>
      <c r="B97" s="302"/>
      <c r="C97" s="302"/>
      <c r="D97" s="302"/>
      <c r="E97" s="192"/>
    </row>
    <row r="98" spans="2:4" s="35" customFormat="1" ht="12.75">
      <c r="B98" s="186" t="s">
        <v>48</v>
      </c>
      <c r="D98" s="188"/>
    </row>
    <row r="99" spans="3:6" s="35" customFormat="1" ht="25.5" customHeight="1">
      <c r="C99" s="301" t="s">
        <v>207</v>
      </c>
      <c r="D99" s="301"/>
      <c r="E99" s="301"/>
      <c r="F99" s="301"/>
    </row>
    <row r="100" spans="3:6" s="35" customFormat="1" ht="80.25" customHeight="1">
      <c r="C100" s="301" t="s">
        <v>208</v>
      </c>
      <c r="D100" s="301"/>
      <c r="E100" s="301"/>
      <c r="F100" s="301"/>
    </row>
    <row r="101" spans="2:4" s="35" customFormat="1" ht="12.75">
      <c r="B101" s="183" t="s">
        <v>55</v>
      </c>
      <c r="C101" s="185"/>
      <c r="D101" s="188"/>
    </row>
    <row r="102" spans="3:6" s="35" customFormat="1" ht="27" customHeight="1">
      <c r="C102" s="301" t="s">
        <v>170</v>
      </c>
      <c r="D102" s="301"/>
      <c r="E102" s="188"/>
      <c r="F102" s="188"/>
    </row>
    <row r="103" spans="3:4" s="35" customFormat="1" ht="54.75" customHeight="1">
      <c r="C103" s="301" t="s">
        <v>212</v>
      </c>
      <c r="D103" s="301"/>
    </row>
    <row r="104" spans="3:5" s="35" customFormat="1" ht="27" customHeight="1">
      <c r="C104" s="301" t="s">
        <v>209</v>
      </c>
      <c r="D104" s="301"/>
      <c r="E104" s="188"/>
    </row>
    <row r="105" spans="3:4" s="35" customFormat="1" ht="27.75" customHeight="1">
      <c r="C105" s="301" t="s">
        <v>173</v>
      </c>
      <c r="D105" s="301"/>
    </row>
    <row r="106" spans="3:4" s="35" customFormat="1" ht="15.75" customHeight="1">
      <c r="C106" s="301" t="s">
        <v>210</v>
      </c>
      <c r="D106" s="301"/>
    </row>
    <row r="107" spans="3:4" s="35" customFormat="1" ht="34.5" customHeight="1">
      <c r="C107" s="301" t="s">
        <v>171</v>
      </c>
      <c r="D107" s="301"/>
    </row>
    <row r="108" spans="3:4" s="35" customFormat="1" ht="16.5" customHeight="1">
      <c r="C108" s="193"/>
      <c r="D108" s="193"/>
    </row>
    <row r="109" spans="3:4" s="35" customFormat="1" ht="16.5" customHeight="1">
      <c r="C109" s="193"/>
      <c r="D109" s="193"/>
    </row>
    <row r="110" spans="3:4" s="35" customFormat="1" ht="16.5" customHeight="1">
      <c r="C110" s="193"/>
      <c r="D110" s="193"/>
    </row>
    <row r="111" spans="3:4" s="35" customFormat="1" ht="16.5" customHeight="1">
      <c r="C111" s="193"/>
      <c r="D111" s="193"/>
    </row>
    <row r="112" spans="3:4" s="35" customFormat="1" ht="16.5" customHeight="1">
      <c r="C112" s="193"/>
      <c r="D112" s="193"/>
    </row>
    <row r="113" spans="3:4" s="35" customFormat="1" ht="16.5" customHeight="1">
      <c r="C113" s="193"/>
      <c r="D113" s="193"/>
    </row>
    <row r="114" spans="3:4" s="35" customFormat="1" ht="16.5" customHeight="1">
      <c r="C114" s="193"/>
      <c r="D114" s="193"/>
    </row>
    <row r="115" spans="3:4" s="35" customFormat="1" ht="16.5" customHeight="1">
      <c r="C115" s="193"/>
      <c r="D115" s="193"/>
    </row>
    <row r="116" spans="3:4" s="35" customFormat="1" ht="16.5" customHeight="1">
      <c r="C116" s="193"/>
      <c r="D116" s="193"/>
    </row>
    <row r="117" spans="3:4" s="35" customFormat="1" ht="16.5" customHeight="1">
      <c r="C117" s="193"/>
      <c r="D117" s="193"/>
    </row>
    <row r="118" spans="3:4" s="35" customFormat="1" ht="16.5" customHeight="1">
      <c r="C118" s="193"/>
      <c r="D118" s="193"/>
    </row>
    <row r="119" spans="3:4" s="35" customFormat="1" ht="16.5" customHeight="1">
      <c r="C119" s="193"/>
      <c r="D119" s="193"/>
    </row>
    <row r="120" spans="3:4" s="35" customFormat="1" ht="16.5" customHeight="1">
      <c r="C120" s="193"/>
      <c r="D120" s="193"/>
    </row>
    <row r="121" spans="3:4" s="35" customFormat="1" ht="16.5" customHeight="1">
      <c r="C121" s="193"/>
      <c r="D121" s="193"/>
    </row>
    <row r="122" spans="3:4" s="35" customFormat="1" ht="16.5" customHeight="1">
      <c r="C122" s="193"/>
      <c r="D122" s="193"/>
    </row>
    <row r="123" spans="3:4" s="35" customFormat="1" ht="16.5" customHeight="1">
      <c r="C123" s="193"/>
      <c r="D123" s="193"/>
    </row>
    <row r="124" spans="3:4" s="35" customFormat="1" ht="16.5" customHeight="1">
      <c r="C124" s="193"/>
      <c r="D124" s="193"/>
    </row>
    <row r="125" spans="3:4" s="35" customFormat="1" ht="16.5" customHeight="1">
      <c r="C125" s="193"/>
      <c r="D125" s="193"/>
    </row>
    <row r="126" spans="3:4" s="35" customFormat="1" ht="16.5" customHeight="1">
      <c r="C126" s="193"/>
      <c r="D126" s="193"/>
    </row>
    <row r="127" spans="3:4" s="35" customFormat="1" ht="16.5" customHeight="1">
      <c r="C127" s="193"/>
      <c r="D127" s="193"/>
    </row>
    <row r="128" spans="3:4" s="35" customFormat="1" ht="16.5" customHeight="1">
      <c r="C128" s="193"/>
      <c r="D128" s="193"/>
    </row>
    <row r="129" spans="3:4" s="35" customFormat="1" ht="16.5" customHeight="1">
      <c r="C129" s="193"/>
      <c r="D129" s="193"/>
    </row>
    <row r="130" spans="3:4" s="35" customFormat="1" ht="16.5" customHeight="1">
      <c r="C130" s="193"/>
      <c r="D130" s="193"/>
    </row>
    <row r="131" spans="3:4" s="35" customFormat="1" ht="16.5" customHeight="1">
      <c r="C131" s="193"/>
      <c r="D131" s="193"/>
    </row>
    <row r="132" spans="3:4" s="35" customFormat="1" ht="16.5" customHeight="1">
      <c r="C132" s="193"/>
      <c r="D132" s="193"/>
    </row>
    <row r="133" spans="3:4" s="35" customFormat="1" ht="16.5" customHeight="1">
      <c r="C133" s="193"/>
      <c r="D133" s="193"/>
    </row>
    <row r="134" spans="3:4" s="35" customFormat="1" ht="16.5" customHeight="1">
      <c r="C134" s="193"/>
      <c r="D134" s="193"/>
    </row>
    <row r="135" spans="3:4" s="35" customFormat="1" ht="16.5" customHeight="1">
      <c r="C135" s="193"/>
      <c r="D135" s="193"/>
    </row>
    <row r="136" spans="3:4" s="35" customFormat="1" ht="16.5" customHeight="1">
      <c r="C136" s="193"/>
      <c r="D136" s="193"/>
    </row>
    <row r="137" spans="3:4" s="35" customFormat="1" ht="16.5" customHeight="1">
      <c r="C137" s="193"/>
      <c r="D137" s="193"/>
    </row>
    <row r="138" spans="3:4" s="35" customFormat="1" ht="16.5" customHeight="1">
      <c r="C138" s="193"/>
      <c r="D138" s="193"/>
    </row>
    <row r="139" spans="3:4" s="35" customFormat="1" ht="16.5" customHeight="1">
      <c r="C139" s="193"/>
      <c r="D139" s="193"/>
    </row>
    <row r="140" spans="3:4" s="35" customFormat="1" ht="16.5" customHeight="1">
      <c r="C140" s="193"/>
      <c r="D140" s="193"/>
    </row>
    <row r="141" spans="3:4" s="35" customFormat="1" ht="16.5" customHeight="1">
      <c r="C141" s="193"/>
      <c r="D141" s="193"/>
    </row>
    <row r="142" spans="3:4" s="35" customFormat="1" ht="16.5" customHeight="1">
      <c r="C142" s="193"/>
      <c r="D142" s="193"/>
    </row>
    <row r="143" spans="3:4" s="35" customFormat="1" ht="16.5" customHeight="1">
      <c r="C143" s="193"/>
      <c r="D143" s="193"/>
    </row>
    <row r="144" spans="3:4" s="35" customFormat="1" ht="16.5" customHeight="1">
      <c r="C144" s="193"/>
      <c r="D144" s="193"/>
    </row>
    <row r="145" spans="3:4" s="35" customFormat="1" ht="16.5" customHeight="1">
      <c r="C145" s="193"/>
      <c r="D145" s="193"/>
    </row>
    <row r="146" spans="3:4" s="35" customFormat="1" ht="16.5" customHeight="1">
      <c r="C146" s="193"/>
      <c r="D146" s="193"/>
    </row>
    <row r="147" spans="3:4" s="35" customFormat="1" ht="16.5" customHeight="1">
      <c r="C147" s="193"/>
      <c r="D147" s="193"/>
    </row>
    <row r="148" spans="3:4" s="35" customFormat="1" ht="16.5" customHeight="1">
      <c r="C148" s="193"/>
      <c r="D148" s="193"/>
    </row>
    <row r="149" spans="3:4" s="35" customFormat="1" ht="16.5" customHeight="1">
      <c r="C149" s="193"/>
      <c r="D149" s="193"/>
    </row>
    <row r="150" spans="3:4" s="35" customFormat="1" ht="16.5" customHeight="1">
      <c r="C150" s="193"/>
      <c r="D150" s="193"/>
    </row>
    <row r="151" spans="3:4" s="35" customFormat="1" ht="16.5" customHeight="1">
      <c r="C151" s="193"/>
      <c r="D151" s="193"/>
    </row>
    <row r="152" spans="3:4" s="35" customFormat="1" ht="16.5" customHeight="1">
      <c r="C152" s="193"/>
      <c r="D152" s="193"/>
    </row>
    <row r="153" spans="3:4" s="35" customFormat="1" ht="16.5" customHeight="1">
      <c r="C153" s="193"/>
      <c r="D153" s="193"/>
    </row>
    <row r="154" spans="3:4" s="35" customFormat="1" ht="16.5" customHeight="1">
      <c r="C154" s="193"/>
      <c r="D154" s="193"/>
    </row>
    <row r="155" spans="3:4" s="35" customFormat="1" ht="16.5" customHeight="1">
      <c r="C155" s="193"/>
      <c r="D155" s="193"/>
    </row>
    <row r="156" spans="3:4" s="35" customFormat="1" ht="16.5" customHeight="1">
      <c r="C156" s="193"/>
      <c r="D156" s="193"/>
    </row>
    <row r="157" spans="1:5" s="35" customFormat="1" ht="31.5" customHeight="1">
      <c r="A157" s="302" t="s">
        <v>42</v>
      </c>
      <c r="B157" s="302"/>
      <c r="C157" s="302"/>
      <c r="D157" s="302"/>
      <c r="E157" s="192"/>
    </row>
    <row r="158" spans="2:4" s="35" customFormat="1" ht="12.75">
      <c r="B158" s="186" t="s">
        <v>48</v>
      </c>
      <c r="D158" s="188"/>
    </row>
    <row r="159" spans="3:4" s="35" customFormat="1" ht="27.75" customHeight="1">
      <c r="C159" s="301" t="s">
        <v>192</v>
      </c>
      <c r="D159" s="301"/>
    </row>
    <row r="160" spans="3:6" s="35" customFormat="1" ht="83.25" customHeight="1">
      <c r="C160" s="301" t="s">
        <v>193</v>
      </c>
      <c r="D160" s="301"/>
      <c r="E160" s="188"/>
      <c r="F160" s="188"/>
    </row>
    <row r="161" spans="2:4" s="35" customFormat="1" ht="12.75">
      <c r="B161" s="183" t="s">
        <v>55</v>
      </c>
      <c r="C161" s="185"/>
      <c r="D161" s="188"/>
    </row>
    <row r="162" spans="3:4" s="35" customFormat="1" ht="28.5" customHeight="1">
      <c r="C162" s="301" t="s">
        <v>194</v>
      </c>
      <c r="D162" s="301"/>
    </row>
    <row r="163" spans="3:4" s="35" customFormat="1" ht="54" customHeight="1">
      <c r="C163" s="301" t="s">
        <v>195</v>
      </c>
      <c r="D163" s="301"/>
    </row>
    <row r="164" spans="3:5" s="35" customFormat="1" ht="13.5" customHeight="1">
      <c r="C164" s="301" t="s">
        <v>196</v>
      </c>
      <c r="D164" s="301"/>
      <c r="E164" s="301"/>
    </row>
    <row r="165" spans="3:4" s="35" customFormat="1" ht="27.75" customHeight="1">
      <c r="C165" s="301" t="s">
        <v>197</v>
      </c>
      <c r="D165" s="301"/>
    </row>
    <row r="166" spans="3:4" s="35" customFormat="1" ht="13.5" customHeight="1">
      <c r="C166" s="301" t="s">
        <v>198</v>
      </c>
      <c r="D166" s="301"/>
    </row>
    <row r="167" spans="3:4" s="35" customFormat="1" ht="29.25" customHeight="1">
      <c r="C167" s="301" t="s">
        <v>172</v>
      </c>
      <c r="D167" s="301"/>
    </row>
    <row r="168" spans="3:4" s="35" customFormat="1" ht="15" customHeight="1">
      <c r="C168" s="193"/>
      <c r="D168" s="193"/>
    </row>
    <row r="169" spans="3:4" s="35" customFormat="1" ht="15" customHeight="1">
      <c r="C169" s="193"/>
      <c r="D169" s="193"/>
    </row>
    <row r="170" spans="3:4" s="35" customFormat="1" ht="15" customHeight="1">
      <c r="C170" s="193"/>
      <c r="D170" s="193"/>
    </row>
    <row r="171" spans="3:4" s="35" customFormat="1" ht="15" customHeight="1">
      <c r="C171" s="193"/>
      <c r="D171" s="193"/>
    </row>
    <row r="172" spans="3:4" s="35" customFormat="1" ht="15" customHeight="1">
      <c r="C172" s="193"/>
      <c r="D172" s="193"/>
    </row>
    <row r="173" spans="3:4" s="35" customFormat="1" ht="15" customHeight="1">
      <c r="C173" s="193"/>
      <c r="D173" s="193"/>
    </row>
    <row r="174" spans="3:4" s="35" customFormat="1" ht="15" customHeight="1">
      <c r="C174" s="193"/>
      <c r="D174" s="193"/>
    </row>
    <row r="175" spans="3:4" s="35" customFormat="1" ht="15" customHeight="1">
      <c r="C175" s="193"/>
      <c r="D175" s="193"/>
    </row>
    <row r="176" spans="3:4" s="35" customFormat="1" ht="15" customHeight="1">
      <c r="C176" s="193"/>
      <c r="D176" s="193"/>
    </row>
    <row r="177" spans="3:4" s="35" customFormat="1" ht="15" customHeight="1">
      <c r="C177" s="193"/>
      <c r="D177" s="193"/>
    </row>
    <row r="178" spans="3:4" s="35" customFormat="1" ht="15" customHeight="1">
      <c r="C178" s="193"/>
      <c r="D178" s="193"/>
    </row>
    <row r="179" spans="3:4" s="35" customFormat="1" ht="15" customHeight="1">
      <c r="C179" s="193"/>
      <c r="D179" s="193"/>
    </row>
    <row r="180" spans="3:4" s="35" customFormat="1" ht="15" customHeight="1">
      <c r="C180" s="193"/>
      <c r="D180" s="193"/>
    </row>
    <row r="181" spans="3:4" s="35" customFormat="1" ht="15" customHeight="1">
      <c r="C181" s="193"/>
      <c r="D181" s="193"/>
    </row>
    <row r="182" spans="3:4" s="35" customFormat="1" ht="15" customHeight="1">
      <c r="C182" s="193"/>
      <c r="D182" s="193"/>
    </row>
    <row r="183" spans="3:4" s="35" customFormat="1" ht="15" customHeight="1">
      <c r="C183" s="193"/>
      <c r="D183" s="193"/>
    </row>
    <row r="184" spans="3:4" s="35" customFormat="1" ht="15" customHeight="1">
      <c r="C184" s="193"/>
      <c r="D184" s="193"/>
    </row>
    <row r="185" spans="3:4" s="35" customFormat="1" ht="15" customHeight="1">
      <c r="C185" s="193"/>
      <c r="D185" s="193"/>
    </row>
    <row r="186" spans="3:4" s="35" customFormat="1" ht="15" customHeight="1">
      <c r="C186" s="193"/>
      <c r="D186" s="193"/>
    </row>
    <row r="187" spans="3:4" s="35" customFormat="1" ht="15" customHeight="1">
      <c r="C187" s="193"/>
      <c r="D187" s="193"/>
    </row>
    <row r="188" spans="3:4" s="35" customFormat="1" ht="15" customHeight="1">
      <c r="C188" s="193"/>
      <c r="D188" s="193"/>
    </row>
    <row r="189" spans="3:4" s="35" customFormat="1" ht="15" customHeight="1">
      <c r="C189" s="193"/>
      <c r="D189" s="193"/>
    </row>
    <row r="190" spans="3:4" s="35" customFormat="1" ht="15" customHeight="1">
      <c r="C190" s="193"/>
      <c r="D190" s="193"/>
    </row>
    <row r="191" spans="3:4" s="35" customFormat="1" ht="15" customHeight="1">
      <c r="C191" s="193"/>
      <c r="D191" s="193"/>
    </row>
    <row r="192" spans="3:4" s="35" customFormat="1" ht="15" customHeight="1">
      <c r="C192" s="193"/>
      <c r="D192" s="193"/>
    </row>
    <row r="193" spans="3:4" s="35" customFormat="1" ht="15" customHeight="1">
      <c r="C193" s="193"/>
      <c r="D193" s="193"/>
    </row>
    <row r="194" spans="3:4" s="35" customFormat="1" ht="15" customHeight="1">
      <c r="C194" s="193"/>
      <c r="D194" s="193"/>
    </row>
    <row r="195" spans="3:4" s="35" customFormat="1" ht="15" customHeight="1">
      <c r="C195" s="193"/>
      <c r="D195" s="193"/>
    </row>
    <row r="196" spans="3:4" s="35" customFormat="1" ht="15" customHeight="1">
      <c r="C196" s="193"/>
      <c r="D196" s="193"/>
    </row>
    <row r="197" spans="3:4" s="35" customFormat="1" ht="15" customHeight="1">
      <c r="C197" s="193"/>
      <c r="D197" s="193"/>
    </row>
    <row r="198" spans="3:4" s="35" customFormat="1" ht="15" customHeight="1">
      <c r="C198" s="193"/>
      <c r="D198" s="193"/>
    </row>
    <row r="199" spans="3:4" s="35" customFormat="1" ht="15" customHeight="1">
      <c r="C199" s="193"/>
      <c r="D199" s="193"/>
    </row>
    <row r="200" spans="3:4" s="35" customFormat="1" ht="15" customHeight="1">
      <c r="C200" s="193"/>
      <c r="D200" s="193"/>
    </row>
    <row r="201" spans="3:4" s="35" customFormat="1" ht="15" customHeight="1">
      <c r="C201" s="193"/>
      <c r="D201" s="193"/>
    </row>
    <row r="202" spans="3:4" s="35" customFormat="1" ht="15" customHeight="1">
      <c r="C202" s="193"/>
      <c r="D202" s="193"/>
    </row>
    <row r="203" spans="3:4" s="35" customFormat="1" ht="15" customHeight="1">
      <c r="C203" s="193"/>
      <c r="D203" s="193"/>
    </row>
    <row r="204" spans="3:4" s="35" customFormat="1" ht="15" customHeight="1">
      <c r="C204" s="193"/>
      <c r="D204" s="193"/>
    </row>
    <row r="205" spans="3:4" s="35" customFormat="1" ht="15" customHeight="1">
      <c r="C205" s="193"/>
      <c r="D205" s="193"/>
    </row>
    <row r="206" spans="3:4" s="35" customFormat="1" ht="15" customHeight="1">
      <c r="C206" s="193"/>
      <c r="D206" s="193"/>
    </row>
    <row r="207" spans="3:4" s="35" customFormat="1" ht="15" customHeight="1">
      <c r="C207" s="193"/>
      <c r="D207" s="193"/>
    </row>
    <row r="208" spans="3:4" s="35" customFormat="1" ht="15" customHeight="1">
      <c r="C208" s="193"/>
      <c r="D208" s="193"/>
    </row>
    <row r="209" spans="3:4" s="35" customFormat="1" ht="15" customHeight="1">
      <c r="C209" s="193"/>
      <c r="D209" s="193"/>
    </row>
    <row r="210" spans="3:4" s="35" customFormat="1" ht="15" customHeight="1">
      <c r="C210" s="193"/>
      <c r="D210" s="193"/>
    </row>
    <row r="211" spans="3:4" s="35" customFormat="1" ht="15" customHeight="1">
      <c r="C211" s="193"/>
      <c r="D211" s="193"/>
    </row>
    <row r="212" spans="3:4" s="35" customFormat="1" ht="15" customHeight="1">
      <c r="C212" s="193"/>
      <c r="D212" s="193"/>
    </row>
    <row r="213" spans="3:4" s="35" customFormat="1" ht="15" customHeight="1">
      <c r="C213" s="193"/>
      <c r="D213" s="193"/>
    </row>
    <row r="214" spans="3:4" s="35" customFormat="1" ht="15" customHeight="1">
      <c r="C214" s="193"/>
      <c r="D214" s="193"/>
    </row>
    <row r="215" spans="3:4" s="35" customFormat="1" ht="15" customHeight="1">
      <c r="C215" s="193"/>
      <c r="D215" s="193"/>
    </row>
    <row r="216" spans="3:4" s="35" customFormat="1" ht="15" customHeight="1">
      <c r="C216" s="193"/>
      <c r="D216" s="193"/>
    </row>
    <row r="217" spans="3:4" s="35" customFormat="1" ht="15" customHeight="1">
      <c r="C217" s="193"/>
      <c r="D217" s="193"/>
    </row>
    <row r="218" spans="3:4" s="35" customFormat="1" ht="15" customHeight="1">
      <c r="C218" s="193"/>
      <c r="D218" s="193"/>
    </row>
    <row r="219" spans="1:6" s="35" customFormat="1" ht="37.5" customHeight="1">
      <c r="A219" s="302" t="s">
        <v>43</v>
      </c>
      <c r="B219" s="302"/>
      <c r="C219" s="302"/>
      <c r="D219" s="302"/>
      <c r="E219" s="192"/>
      <c r="F219" s="192"/>
    </row>
    <row r="220" spans="2:4" s="35" customFormat="1" ht="12.75">
      <c r="B220" s="186" t="s">
        <v>48</v>
      </c>
      <c r="D220" s="188"/>
    </row>
    <row r="221" spans="3:6" s="35" customFormat="1" ht="30.75" customHeight="1">
      <c r="C221" s="301" t="s">
        <v>199</v>
      </c>
      <c r="D221" s="301"/>
      <c r="E221" s="188"/>
      <c r="F221" s="193"/>
    </row>
    <row r="222" spans="3:6" s="35" customFormat="1" ht="39" customHeight="1">
      <c r="C222" s="301" t="s">
        <v>211</v>
      </c>
      <c r="D222" s="301"/>
      <c r="E222" s="188"/>
      <c r="F222" s="193"/>
    </row>
    <row r="223" spans="2:4" s="35" customFormat="1" ht="12.75">
      <c r="B223" s="183" t="s">
        <v>55</v>
      </c>
      <c r="C223" s="185"/>
      <c r="D223" s="188"/>
    </row>
    <row r="224" spans="3:5" s="35" customFormat="1" ht="27.75" customHeight="1">
      <c r="C224" s="301" t="s">
        <v>200</v>
      </c>
      <c r="D224" s="301"/>
      <c r="E224" s="188"/>
    </row>
    <row r="225" spans="3:4" s="35" customFormat="1" ht="52.5" customHeight="1">
      <c r="C225" s="301" t="s">
        <v>213</v>
      </c>
      <c r="D225" s="301"/>
    </row>
    <row r="226" spans="3:5" s="35" customFormat="1" ht="28.5" customHeight="1">
      <c r="C226" s="301" t="s">
        <v>201</v>
      </c>
      <c r="D226" s="301"/>
      <c r="E226" s="188"/>
    </row>
    <row r="227" spans="3:4" s="35" customFormat="1" ht="27" customHeight="1">
      <c r="C227" s="301" t="s">
        <v>202</v>
      </c>
      <c r="D227" s="301"/>
    </row>
    <row r="228" spans="3:5" ht="12.75">
      <c r="C228" s="301" t="s">
        <v>204</v>
      </c>
      <c r="D228" s="301"/>
      <c r="E228" s="35"/>
    </row>
    <row r="229" spans="3:5" ht="24.75" customHeight="1">
      <c r="C229" s="301" t="s">
        <v>203</v>
      </c>
      <c r="D229" s="301"/>
      <c r="E229" s="35"/>
    </row>
  </sheetData>
  <mergeCells count="61">
    <mergeCell ref="C228:D228"/>
    <mergeCell ref="C229:D229"/>
    <mergeCell ref="C165:D165"/>
    <mergeCell ref="C166:D166"/>
    <mergeCell ref="C167:D167"/>
    <mergeCell ref="A219:D219"/>
    <mergeCell ref="C221:D221"/>
    <mergeCell ref="C222:D222"/>
    <mergeCell ref="C224:D224"/>
    <mergeCell ref="C225:D225"/>
    <mergeCell ref="E99:F99"/>
    <mergeCell ref="C100:D100"/>
    <mergeCell ref="E100:F100"/>
    <mergeCell ref="C102:D102"/>
    <mergeCell ref="D3:E3"/>
    <mergeCell ref="C8:D8"/>
    <mergeCell ref="C9:D9"/>
    <mergeCell ref="C10:D10"/>
    <mergeCell ref="C11:D11"/>
    <mergeCell ref="C12:D12"/>
    <mergeCell ref="C14:D14"/>
    <mergeCell ref="C17:D17"/>
    <mergeCell ref="C18:D18"/>
    <mergeCell ref="C19:D19"/>
    <mergeCell ref="C20:D20"/>
    <mergeCell ref="C21:G21"/>
    <mergeCell ref="C22:D22"/>
    <mergeCell ref="C25:D25"/>
    <mergeCell ref="C27:D27"/>
    <mergeCell ref="C24:D24"/>
    <mergeCell ref="C30:D30"/>
    <mergeCell ref="C31:D31"/>
    <mergeCell ref="C32:D32"/>
    <mergeCell ref="C35:D35"/>
    <mergeCell ref="C36:D36"/>
    <mergeCell ref="C37:D37"/>
    <mergeCell ref="C38:D38"/>
    <mergeCell ref="A39:D39"/>
    <mergeCell ref="C41:D41"/>
    <mergeCell ref="C42:D42"/>
    <mergeCell ref="C44:D44"/>
    <mergeCell ref="C45:D45"/>
    <mergeCell ref="C159:D159"/>
    <mergeCell ref="C46:D46"/>
    <mergeCell ref="C47:D47"/>
    <mergeCell ref="C48:D48"/>
    <mergeCell ref="C49:D49"/>
    <mergeCell ref="A97:D97"/>
    <mergeCell ref="C99:D99"/>
    <mergeCell ref="C103:D103"/>
    <mergeCell ref="C105:D105"/>
    <mergeCell ref="C227:D227"/>
    <mergeCell ref="C104:D104"/>
    <mergeCell ref="C226:D226"/>
    <mergeCell ref="C160:D160"/>
    <mergeCell ref="C162:D162"/>
    <mergeCell ref="C163:D163"/>
    <mergeCell ref="C164:E164"/>
    <mergeCell ref="C106:D106"/>
    <mergeCell ref="C107:D107"/>
    <mergeCell ref="A157:D157"/>
  </mergeCells>
  <printOptions/>
  <pageMargins left="0.75" right="0.37"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B1:O55"/>
  <sheetViews>
    <sheetView zoomScale="75" zoomScaleNormal="75" workbookViewId="0" topLeftCell="A1">
      <selection activeCell="C30" sqref="C30"/>
    </sheetView>
  </sheetViews>
  <sheetFormatPr defaultColWidth="9.140625" defaultRowHeight="12.75"/>
  <cols>
    <col min="2" max="2" width="25.28125" style="0" bestFit="1" customWidth="1"/>
    <col min="3" max="7" width="10.7109375" style="0" customWidth="1"/>
    <col min="8" max="8" width="15.7109375" style="16" customWidth="1"/>
    <col min="9" max="9" width="11.00390625" style="16" customWidth="1"/>
    <col min="10" max="10" width="18.421875" style="0" customWidth="1"/>
    <col min="11" max="11" width="18.140625" style="0" customWidth="1"/>
    <col min="13" max="13" width="12.00390625" style="0" bestFit="1" customWidth="1"/>
  </cols>
  <sheetData>
    <row r="1" ht="12.75">
      <c r="B1" s="16" t="s">
        <v>37</v>
      </c>
    </row>
    <row r="2" spans="14:15" ht="12.75">
      <c r="N2" s="26" t="s">
        <v>61</v>
      </c>
      <c r="O2" s="26" t="s">
        <v>60</v>
      </c>
    </row>
    <row r="3" spans="2:15" ht="12.75">
      <c r="B3" t="s">
        <v>21</v>
      </c>
      <c r="C3" s="2" t="e">
        <f>H27</f>
        <v>#DIV/0!</v>
      </c>
      <c r="M3" s="37" t="s">
        <v>59</v>
      </c>
      <c r="N3" s="38">
        <v>0.4</v>
      </c>
      <c r="O3" s="38">
        <v>0.6</v>
      </c>
    </row>
    <row r="4" spans="13:15" ht="12.75">
      <c r="M4" s="37" t="s">
        <v>62</v>
      </c>
      <c r="N4" s="38">
        <v>0.6</v>
      </c>
      <c r="O4" s="38">
        <v>0.95</v>
      </c>
    </row>
    <row r="5" spans="2:15" ht="12.75">
      <c r="B5" t="s">
        <v>63</v>
      </c>
      <c r="C5" s="42">
        <v>8760</v>
      </c>
      <c r="M5" s="37" t="s">
        <v>68</v>
      </c>
      <c r="N5" s="26">
        <v>1700</v>
      </c>
      <c r="O5" t="s">
        <v>34</v>
      </c>
    </row>
    <row r="6" ht="12.75"/>
    <row r="7" spans="2:5" ht="12.75">
      <c r="B7" t="s">
        <v>0</v>
      </c>
      <c r="C7" s="1"/>
      <c r="D7" t="s">
        <v>19</v>
      </c>
      <c r="E7" s="11" t="s">
        <v>17</v>
      </c>
    </row>
    <row r="8" spans="3:11" ht="25.5">
      <c r="C8" s="1"/>
      <c r="G8" s="41" t="s">
        <v>33</v>
      </c>
      <c r="K8" s="28"/>
    </row>
    <row r="9" spans="2:9" ht="15.75">
      <c r="B9" t="s">
        <v>1</v>
      </c>
      <c r="C9" s="2">
        <f>'Thermal Oxidizer'!E23</f>
        <v>0</v>
      </c>
      <c r="D9" s="2">
        <f>C9</f>
        <v>0</v>
      </c>
      <c r="E9" s="2">
        <f>C9</f>
        <v>0</v>
      </c>
      <c r="F9" s="2">
        <f>C9</f>
        <v>0</v>
      </c>
      <c r="G9" s="2">
        <v>80</v>
      </c>
      <c r="H9" s="17" t="s">
        <v>31</v>
      </c>
      <c r="I9" s="21"/>
    </row>
    <row r="10" spans="2:9" ht="12.75">
      <c r="B10" t="s">
        <v>58</v>
      </c>
      <c r="C10" s="2">
        <f>'Thermal Oxidizer'!D29</f>
        <v>0</v>
      </c>
      <c r="D10" s="2">
        <f>'Thermal Oxidizer'!D30</f>
        <v>0</v>
      </c>
      <c r="E10" s="2">
        <f>'Thermal Oxidizer'!D31</f>
        <v>0</v>
      </c>
      <c r="F10" s="2">
        <f>'Thermal Oxidizer'!D32</f>
        <v>0</v>
      </c>
      <c r="G10" s="2">
        <f>'Thermal Oxidizer'!E48</f>
        <v>0</v>
      </c>
      <c r="H10" s="18" t="s">
        <v>16</v>
      </c>
      <c r="I10" s="22"/>
    </row>
    <row r="11" spans="2:11" ht="12.75">
      <c r="B11" t="s">
        <v>2</v>
      </c>
      <c r="C11" s="3">
        <f>C10*60*520*0.0763/(C9+460)</f>
        <v>0</v>
      </c>
      <c r="D11" s="3">
        <f>D10*60*520*0.0763/(D9+460)</f>
        <v>0</v>
      </c>
      <c r="E11" s="3">
        <f>E10*60*520*0.0763/(E9+460)</f>
        <v>0</v>
      </c>
      <c r="F11" s="3">
        <f>F10*60*520*0.0763/(F9+460)</f>
        <v>0</v>
      </c>
      <c r="G11" s="3">
        <f>G10*60*520*0.0763/(G9+460)</f>
        <v>0</v>
      </c>
      <c r="H11" s="18" t="s">
        <v>30</v>
      </c>
      <c r="I11" s="22"/>
      <c r="J11" t="s">
        <v>20</v>
      </c>
      <c r="K11" s="9">
        <f>(C11*C20)+(D11*D20)+(E11*E20)+(F11*F20)+G11*G20</f>
        <v>0</v>
      </c>
    </row>
    <row r="12" spans="2:11" ht="12.75">
      <c r="B12" t="s">
        <v>3</v>
      </c>
      <c r="C12" s="2">
        <f>IF('Thermal Oxidizer'!$E$12='Thermal Oxidizer'!$I$18,C10*60*'Thermal Oxidizer'!$E$25/'Case A'!C11,'Thermal Oxidizer'!$E$25)</f>
        <v>0</v>
      </c>
      <c r="D12" s="2">
        <f>IF('Thermal Oxidizer'!$E$12='Thermal Oxidizer'!$I$18,D10*60*'Thermal Oxidizer'!$E$25/'Case A'!D11,'Thermal Oxidizer'!$E$25)</f>
        <v>0</v>
      </c>
      <c r="E12" s="2">
        <f>IF('Thermal Oxidizer'!$E$12='Thermal Oxidizer'!$I$18,E10*60*'Thermal Oxidizer'!$E$25/'Case A'!E11,'Thermal Oxidizer'!$E$25)</f>
        <v>0</v>
      </c>
      <c r="F12" s="2">
        <f>IF('Thermal Oxidizer'!$E$12='Thermal Oxidizer'!$I$18,F10*60*'Thermal Oxidizer'!$E$25/'Case A'!F11,'Thermal Oxidizer'!$E$25)</f>
        <v>0</v>
      </c>
      <c r="G12" s="29"/>
      <c r="H12" s="18" t="s">
        <v>67</v>
      </c>
      <c r="I12" s="22"/>
      <c r="J12" t="s">
        <v>22</v>
      </c>
      <c r="K12" s="9" t="e">
        <f>(($C$3*100)+($C$3*100*11.5))/13</f>
        <v>#DIV/0!</v>
      </c>
    </row>
    <row r="13" spans="2:9" ht="15.75">
      <c r="B13" t="s">
        <v>18</v>
      </c>
      <c r="C13" s="43">
        <v>0.24</v>
      </c>
      <c r="D13" s="13">
        <f>C13</f>
        <v>0.24</v>
      </c>
      <c r="E13" s="13">
        <f>C13</f>
        <v>0.24</v>
      </c>
      <c r="F13" s="13">
        <f>C13</f>
        <v>0.24</v>
      </c>
      <c r="G13" s="13">
        <f>C13</f>
        <v>0.24</v>
      </c>
      <c r="H13" s="18" t="s">
        <v>32</v>
      </c>
      <c r="I13" s="22"/>
    </row>
    <row r="14" spans="2:12" ht="15.75">
      <c r="B14" t="s">
        <v>7</v>
      </c>
      <c r="C14" s="43">
        <v>0.25</v>
      </c>
      <c r="D14" s="13">
        <f>C14</f>
        <v>0.25</v>
      </c>
      <c r="E14" s="13">
        <f>C14</f>
        <v>0.25</v>
      </c>
      <c r="F14" s="13">
        <f>C14</f>
        <v>0.25</v>
      </c>
      <c r="G14" s="13">
        <f>C14</f>
        <v>0.25</v>
      </c>
      <c r="H14" s="18" t="s">
        <v>32</v>
      </c>
      <c r="I14" s="22"/>
      <c r="J14" t="s">
        <v>23</v>
      </c>
      <c r="K14" s="12" t="e">
        <f>K11+K12</f>
        <v>#DIV/0!</v>
      </c>
      <c r="L14" t="s">
        <v>29</v>
      </c>
    </row>
    <row r="15" spans="2:9" ht="15.75">
      <c r="B15" t="s">
        <v>27</v>
      </c>
      <c r="C15" s="195">
        <f>IF('Thermal Oxidizer'!F36='Thermal Oxidizer'!I15,1,0.95-0.025*C24/100-(-2+0.02*C24)*'Thermal Oxidizer'!F37/100)</f>
        <v>0.952</v>
      </c>
      <c r="D15" s="4">
        <f>C15</f>
        <v>0.952</v>
      </c>
      <c r="E15" s="4">
        <f>C15</f>
        <v>0.952</v>
      </c>
      <c r="F15" s="4">
        <f>C15</f>
        <v>0.952</v>
      </c>
      <c r="G15" s="4">
        <f>D15</f>
        <v>0.952</v>
      </c>
      <c r="H15" s="18"/>
      <c r="I15" s="22"/>
    </row>
    <row r="16" spans="2:12" ht="15.75">
      <c r="B16" t="s">
        <v>8</v>
      </c>
      <c r="C16" s="3" t="e">
        <f>K19</f>
        <v>#DIV/0!</v>
      </c>
      <c r="D16" s="3" t="e">
        <f>C16</f>
        <v>#DIV/0!</v>
      </c>
      <c r="E16" s="3" t="e">
        <f>C16</f>
        <v>#DIV/0!</v>
      </c>
      <c r="F16" s="3" t="e">
        <f>C16</f>
        <v>#DIV/0!</v>
      </c>
      <c r="G16" s="3" t="e">
        <f>K19-F9+G9</f>
        <v>#DIV/0!</v>
      </c>
      <c r="H16" s="17" t="s">
        <v>31</v>
      </c>
      <c r="I16" s="21"/>
      <c r="J16" t="s">
        <v>24</v>
      </c>
      <c r="K16" s="10" t="e">
        <f>IF('Thermal Oxidizer'!F38='Thermal Oxidizer'!$I$12,((K11*(C23-G9)*C13)+(K12*(C23-G9)*C14))*C25,(K11*(C23-C24)*C13)+(K12*(C23-C24)*C14))</f>
        <v>#DIV/0!</v>
      </c>
      <c r="L16" t="s">
        <v>28</v>
      </c>
    </row>
    <row r="17" spans="2:9" ht="15.75">
      <c r="B17" t="s">
        <v>10</v>
      </c>
      <c r="C17" s="3" t="e">
        <f>((C12/C13)+C16)</f>
        <v>#DIV/0!</v>
      </c>
      <c r="D17" s="3" t="e">
        <f>((D12/D13)+D16)</f>
        <v>#DIV/0!</v>
      </c>
      <c r="E17" s="3" t="e">
        <f>((E12/E13)+E16)</f>
        <v>#DIV/0!</v>
      </c>
      <c r="F17" s="3" t="e">
        <f>((F12/F13)+F16)</f>
        <v>#DIV/0!</v>
      </c>
      <c r="G17" s="3" t="e">
        <f>((G12/G13)+G16)</f>
        <v>#DIV/0!</v>
      </c>
      <c r="H17" s="17" t="s">
        <v>31</v>
      </c>
      <c r="I17" s="21"/>
    </row>
    <row r="18" spans="2:9" ht="12.75">
      <c r="B18" t="s">
        <v>11</v>
      </c>
      <c r="C18" s="5" t="e">
        <f>MAX(0,((C23-C17)*(C11*C13))/100000/C15)</f>
        <v>#DIV/0!</v>
      </c>
      <c r="D18" s="5" t="e">
        <f>MAX(0,((D23-D17)*(D11*D13))/100000/D15)</f>
        <v>#DIV/0!</v>
      </c>
      <c r="E18" s="5" t="e">
        <f>MAX(0,((E23-E17)*(E11*E13))/100000/E15)</f>
        <v>#DIV/0!</v>
      </c>
      <c r="F18" s="5" t="e">
        <f>MAX(0,((F23-F17)*(F11*F13))/100000/F15)</f>
        <v>#DIV/0!</v>
      </c>
      <c r="G18" s="5" t="e">
        <f>MAX(0,((G23-G17)*(G11*G13))/100000/G15)</f>
        <v>#DIV/0!</v>
      </c>
      <c r="H18" s="18" t="s">
        <v>12</v>
      </c>
      <c r="I18" s="22"/>
    </row>
    <row r="19" spans="2:12" ht="12.75">
      <c r="B19" t="s">
        <v>13</v>
      </c>
      <c r="C19" s="6">
        <f>'Thermal Oxidizer'!E29</f>
        <v>0</v>
      </c>
      <c r="D19" s="6">
        <f>'Thermal Oxidizer'!E30</f>
        <v>0</v>
      </c>
      <c r="E19" s="6">
        <f>'Thermal Oxidizer'!E31</f>
        <v>0</v>
      </c>
      <c r="F19" s="6">
        <f>'Thermal Oxidizer'!E32</f>
        <v>0</v>
      </c>
      <c r="G19" s="6">
        <f>'Thermal Oxidizer'!E33</f>
        <v>1</v>
      </c>
      <c r="H19" s="19"/>
      <c r="I19" s="23"/>
      <c r="J19" t="s">
        <v>25</v>
      </c>
      <c r="K19" s="14" t="e">
        <f>(K16/(K11*C13)+C9)</f>
        <v>#DIV/0!</v>
      </c>
      <c r="L19" t="s">
        <v>34</v>
      </c>
    </row>
    <row r="20" spans="2:9" ht="12.75">
      <c r="B20" t="s">
        <v>15</v>
      </c>
      <c r="C20" s="3">
        <f>C5*C19</f>
        <v>0</v>
      </c>
      <c r="D20" s="3">
        <f>C5*D19</f>
        <v>0</v>
      </c>
      <c r="E20" s="3">
        <f>C5*E19</f>
        <v>0</v>
      </c>
      <c r="F20" s="3">
        <f>C5*F19</f>
        <v>0</v>
      </c>
      <c r="G20" s="3">
        <f>C5*G19</f>
        <v>8760</v>
      </c>
      <c r="H20" s="20">
        <f>$F$20*H19</f>
        <v>0</v>
      </c>
      <c r="I20" s="24"/>
    </row>
    <row r="21" spans="10:11" ht="12.75">
      <c r="J21" t="s">
        <v>26</v>
      </c>
      <c r="K21" s="1" t="e">
        <f>(C18*C20)+(D18*D20)+(E18*E20)+(F18*F20)+G18*G20</f>
        <v>#DIV/0!</v>
      </c>
    </row>
    <row r="22" ht="12.75"/>
    <row r="23" spans="2:9" ht="15.75">
      <c r="B23" t="s">
        <v>9</v>
      </c>
      <c r="C23" s="2">
        <f>'Thermal Oxidizer'!E22</f>
        <v>0</v>
      </c>
      <c r="D23" s="2">
        <f>C23</f>
        <v>0</v>
      </c>
      <c r="E23" s="2">
        <f>C23</f>
        <v>0</v>
      </c>
      <c r="F23" s="2">
        <f>C23</f>
        <v>0</v>
      </c>
      <c r="G23" s="2">
        <f>D23</f>
        <v>0</v>
      </c>
      <c r="H23" s="17" t="s">
        <v>31</v>
      </c>
      <c r="I23" s="21"/>
    </row>
    <row r="24" spans="2:9" ht="15.75">
      <c r="B24" t="s">
        <v>5</v>
      </c>
      <c r="C24" s="2">
        <f>C23</f>
        <v>0</v>
      </c>
      <c r="D24" s="2">
        <f>D23</f>
        <v>0</v>
      </c>
      <c r="E24" s="2">
        <f>E23</f>
        <v>0</v>
      </c>
      <c r="F24" s="2">
        <f>F23</f>
        <v>0</v>
      </c>
      <c r="G24" s="2">
        <f>G23</f>
        <v>0</v>
      </c>
      <c r="H24" s="17" t="s">
        <v>31</v>
      </c>
      <c r="I24" s="21"/>
    </row>
    <row r="25" spans="2:13" ht="15.75">
      <c r="B25" t="s">
        <v>6</v>
      </c>
      <c r="C25" s="44">
        <v>0</v>
      </c>
      <c r="D25" s="4">
        <f>$C$25</f>
        <v>0</v>
      </c>
      <c r="E25" s="4">
        <f>$C$25</f>
        <v>0</v>
      </c>
      <c r="F25" s="4">
        <f>$C$25</f>
        <v>0</v>
      </c>
      <c r="G25" s="4">
        <f>$C$25</f>
        <v>0</v>
      </c>
      <c r="H25" s="18"/>
      <c r="I25" s="22"/>
      <c r="K25" s="40"/>
      <c r="L25" s="40"/>
      <c r="M25" s="40"/>
    </row>
    <row r="26" ht="13.5" thickBot="1">
      <c r="C26" s="1"/>
    </row>
    <row r="27" spans="2:9" ht="13.5" thickBot="1">
      <c r="B27" t="s">
        <v>14</v>
      </c>
      <c r="C27" s="7" t="e">
        <f>C18*C20</f>
        <v>#DIV/0!</v>
      </c>
      <c r="D27" s="7" t="e">
        <f>D18*D20</f>
        <v>#DIV/0!</v>
      </c>
      <c r="E27" s="7" t="e">
        <f>E18*E20</f>
        <v>#DIV/0!</v>
      </c>
      <c r="F27" s="7" t="e">
        <f>F18*F20</f>
        <v>#DIV/0!</v>
      </c>
      <c r="G27" s="7" t="e">
        <f>G18*G20</f>
        <v>#DIV/0!</v>
      </c>
      <c r="H27" s="15" t="e">
        <f>SUM(C27:G27)</f>
        <v>#DIV/0!</v>
      </c>
      <c r="I27" s="25"/>
    </row>
    <row r="28" ht="12.75"/>
    <row r="29" spans="2:10" ht="12.75">
      <c r="B29" t="s">
        <v>21</v>
      </c>
      <c r="C29" s="2" t="e">
        <f>H53</f>
        <v>#DIV/0!</v>
      </c>
      <c r="J29" s="40" t="e">
        <f>C43</f>
        <v>#DIV/0!</v>
      </c>
    </row>
    <row r="30" spans="6:10" ht="12.75">
      <c r="F30" s="16"/>
      <c r="G30" s="16"/>
      <c r="J30" s="196">
        <f>'Thermal Oxidizer'!G37</f>
        <v>0.1</v>
      </c>
    </row>
    <row r="31" spans="2:3" ht="12.75">
      <c r="B31" t="s">
        <v>63</v>
      </c>
      <c r="C31" s="2">
        <v>8760</v>
      </c>
    </row>
    <row r="32" ht="12.75">
      <c r="J32" t="e">
        <f>(-2+0.02*C43)*(1+'Thermal Oxidizer'!G37)/100</f>
        <v>#DIV/0!</v>
      </c>
    </row>
    <row r="33" spans="2:10" ht="12.75">
      <c r="B33" s="16" t="s">
        <v>44</v>
      </c>
      <c r="C33" s="1"/>
      <c r="E33" s="11"/>
      <c r="J33" s="40"/>
    </row>
    <row r="34" spans="3:7" ht="25.5">
      <c r="C34" s="1"/>
      <c r="G34" s="41" t="s">
        <v>33</v>
      </c>
    </row>
    <row r="35" spans="2:8" ht="15.75">
      <c r="B35" t="s">
        <v>1</v>
      </c>
      <c r="C35" s="2">
        <f>'Thermal Oxidizer'!E23</f>
        <v>0</v>
      </c>
      <c r="D35" s="2">
        <f>C35</f>
        <v>0</v>
      </c>
      <c r="E35" s="2">
        <f>C35</f>
        <v>0</v>
      </c>
      <c r="F35" s="2">
        <f>C35</f>
        <v>0</v>
      </c>
      <c r="G35" s="2">
        <v>80</v>
      </c>
      <c r="H35" s="17" t="s">
        <v>31</v>
      </c>
    </row>
    <row r="36" spans="2:8" ht="12.75">
      <c r="B36" t="s">
        <v>58</v>
      </c>
      <c r="C36" s="2">
        <f>'Thermal Oxidizer'!F29</f>
        <v>0</v>
      </c>
      <c r="D36" s="2">
        <f>'Thermal Oxidizer'!F30</f>
        <v>0</v>
      </c>
      <c r="E36" s="2">
        <f>'Thermal Oxidizer'!F31</f>
        <v>0</v>
      </c>
      <c r="F36" s="2">
        <f>'Thermal Oxidizer'!F32</f>
        <v>0</v>
      </c>
      <c r="G36" s="2">
        <f>'Thermal Oxidizer'!F48</f>
        <v>0</v>
      </c>
      <c r="H36" s="18" t="s">
        <v>16</v>
      </c>
    </row>
    <row r="37" spans="2:11" ht="12.75">
      <c r="B37" t="s">
        <v>2</v>
      </c>
      <c r="C37" s="3">
        <f>C36*60*520*0.0763/(C35+460)</f>
        <v>0</v>
      </c>
      <c r="D37" s="3">
        <f>D36*60*520*0.0763/(D35+460)</f>
        <v>0</v>
      </c>
      <c r="E37" s="3">
        <f>E36*60*520*0.0763/(E35+460)</f>
        <v>0</v>
      </c>
      <c r="F37" s="3">
        <f>F36*60*520*0.0763/(F35+460)</f>
        <v>0</v>
      </c>
      <c r="G37" s="3">
        <f>G36*60*520*0.0763/(G35+460)</f>
        <v>0</v>
      </c>
      <c r="H37" s="18" t="s">
        <v>30</v>
      </c>
      <c r="J37" t="s">
        <v>20</v>
      </c>
      <c r="K37" s="9">
        <f>(C37*C46)+(D37*D46)+(E37*E46)+(F37*F46)+G37*G46</f>
        <v>0</v>
      </c>
    </row>
    <row r="38" spans="2:11" ht="12.75">
      <c r="B38" t="s">
        <v>3</v>
      </c>
      <c r="C38" s="2">
        <f>IF('Thermal Oxidizer'!$E$12='Thermal Oxidizer'!$I$18,C36*60*'Thermal Oxidizer'!$E$25/'Case A'!C37,'Thermal Oxidizer'!$E$25)</f>
        <v>0</v>
      </c>
      <c r="D38" s="2">
        <f>C38</f>
        <v>0</v>
      </c>
      <c r="E38" s="2">
        <f>C38</f>
        <v>0</v>
      </c>
      <c r="F38" s="2">
        <f>C38</f>
        <v>0</v>
      </c>
      <c r="G38" s="29"/>
      <c r="H38" s="18" t="s">
        <v>4</v>
      </c>
      <c r="J38" t="s">
        <v>22</v>
      </c>
      <c r="K38" s="9" t="e">
        <f>((C29*100)+(C29*100*11.5))/13</f>
        <v>#DIV/0!</v>
      </c>
    </row>
    <row r="39" spans="2:8" ht="15.75">
      <c r="B39" t="s">
        <v>18</v>
      </c>
      <c r="C39" s="13">
        <v>0.24</v>
      </c>
      <c r="D39" s="13">
        <f>C39</f>
        <v>0.24</v>
      </c>
      <c r="E39" s="13">
        <f>C39</f>
        <v>0.24</v>
      </c>
      <c r="F39" s="13">
        <f>C39</f>
        <v>0.24</v>
      </c>
      <c r="G39" s="13">
        <f>C39</f>
        <v>0.24</v>
      </c>
      <c r="H39" s="18" t="s">
        <v>4</v>
      </c>
    </row>
    <row r="40" spans="2:12" ht="15.75">
      <c r="B40" t="s">
        <v>7</v>
      </c>
      <c r="C40" s="13">
        <v>0.25</v>
      </c>
      <c r="D40" s="13">
        <f>C40</f>
        <v>0.25</v>
      </c>
      <c r="E40" s="13">
        <f>C40</f>
        <v>0.25</v>
      </c>
      <c r="F40" s="13">
        <f>C40</f>
        <v>0.25</v>
      </c>
      <c r="G40" s="13">
        <f>C40</f>
        <v>0.25</v>
      </c>
      <c r="H40" s="18" t="s">
        <v>32</v>
      </c>
      <c r="J40" t="s">
        <v>23</v>
      </c>
      <c r="K40" s="12" t="e">
        <f>K37+K38</f>
        <v>#DIV/0!</v>
      </c>
      <c r="L40" t="s">
        <v>29</v>
      </c>
    </row>
    <row r="41" spans="2:8" ht="15.75">
      <c r="B41" t="s">
        <v>27</v>
      </c>
      <c r="C41" s="195" t="e">
        <f>IF('Thermal Oxidizer'!G36='Thermal Oxidizer'!I15,1,0.95-0.025*C50/100-(-2+0.02*C50)*'Thermal Oxidizer'!G37/100)</f>
        <v>#DIV/0!</v>
      </c>
      <c r="D41" s="4" t="e">
        <f>C41</f>
        <v>#DIV/0!</v>
      </c>
      <c r="E41" s="4" t="e">
        <f>C41</f>
        <v>#DIV/0!</v>
      </c>
      <c r="F41" s="4" t="e">
        <f>C41</f>
        <v>#DIV/0!</v>
      </c>
      <c r="G41" s="4" t="e">
        <f>D41</f>
        <v>#DIV/0!</v>
      </c>
      <c r="H41" s="18"/>
    </row>
    <row r="42" spans="2:12" ht="15.75">
      <c r="B42" t="s">
        <v>8</v>
      </c>
      <c r="C42" s="3" t="e">
        <f>K45</f>
        <v>#DIV/0!</v>
      </c>
      <c r="D42" s="3" t="e">
        <f>C42</f>
        <v>#DIV/0!</v>
      </c>
      <c r="E42" s="3" t="e">
        <f>C42</f>
        <v>#DIV/0!</v>
      </c>
      <c r="F42" s="3" t="e">
        <f>C42</f>
        <v>#DIV/0!</v>
      </c>
      <c r="G42" s="3" t="e">
        <f>K45-F35+G35</f>
        <v>#DIV/0!</v>
      </c>
      <c r="H42" s="17" t="s">
        <v>31</v>
      </c>
      <c r="J42" t="s">
        <v>24</v>
      </c>
      <c r="K42" s="10" t="e">
        <f>IF('Thermal Oxidizer'!F38="Efficiency",((K37*(C49-G35)*C39)+(K38*(C49-G35)*C40))*C51,(K37*(C49-C50)*C39)+(K38*(C49-C50)*C40))</f>
        <v>#DIV/0!</v>
      </c>
      <c r="L42" t="s">
        <v>28</v>
      </c>
    </row>
    <row r="43" spans="2:12" ht="15.75">
      <c r="B43" t="s">
        <v>10</v>
      </c>
      <c r="C43" s="3" t="e">
        <f>((C38/C39)+C42)</f>
        <v>#DIV/0!</v>
      </c>
      <c r="D43" s="3" t="e">
        <f>((D38/D39)+D42)</f>
        <v>#DIV/0!</v>
      </c>
      <c r="E43" s="3" t="e">
        <f>((E38/E39)+E42)</f>
        <v>#DIV/0!</v>
      </c>
      <c r="F43" s="3" t="e">
        <f>((F38/F39)+F42)</f>
        <v>#DIV/0!</v>
      </c>
      <c r="G43" s="3" t="e">
        <f>((G38/G39)+G42)</f>
        <v>#DIV/0!</v>
      </c>
      <c r="H43" s="17" t="s">
        <v>31</v>
      </c>
      <c r="J43" t="s">
        <v>155</v>
      </c>
      <c r="K43" s="40" t="e">
        <f>ROUND(C43,0)</f>
        <v>#DIV/0!</v>
      </c>
      <c r="L43" t="s">
        <v>34</v>
      </c>
    </row>
    <row r="44" spans="2:8" ht="12.75">
      <c r="B44" t="s">
        <v>11</v>
      </c>
      <c r="C44" s="5" t="e">
        <f>MAX(0,((C49-C43)*(C37*C39))/100000/C41)</f>
        <v>#DIV/0!</v>
      </c>
      <c r="D44" s="5" t="e">
        <f>MAX(0,((D49-D43)*(D37*D39))/100000/D41)</f>
        <v>#DIV/0!</v>
      </c>
      <c r="E44" s="5" t="e">
        <f>MAX(0,((E49-E43)*(E37*E39))/100000/E41)</f>
        <v>#DIV/0!</v>
      </c>
      <c r="F44" s="5" t="e">
        <f>MAX(0,((F49-F43)*(F37*F39))/100000/F41)</f>
        <v>#DIV/0!</v>
      </c>
      <c r="G44" s="5" t="e">
        <f>MAX(0,((G49-G43)*(G37*G39))/100000/G41)</f>
        <v>#DIV/0!</v>
      </c>
      <c r="H44" s="18" t="s">
        <v>12</v>
      </c>
    </row>
    <row r="45" spans="2:12" ht="12.75">
      <c r="B45" t="s">
        <v>13</v>
      </c>
      <c r="C45" s="6">
        <f>'Thermal Oxidizer'!G29</f>
        <v>0</v>
      </c>
      <c r="D45" s="6">
        <f>'Thermal Oxidizer'!G30</f>
        <v>0</v>
      </c>
      <c r="E45" s="6">
        <f>'Thermal Oxidizer'!G31</f>
        <v>0</v>
      </c>
      <c r="F45" s="6">
        <f>'Thermal Oxidizer'!G32</f>
        <v>0</v>
      </c>
      <c r="G45" s="6">
        <f>'Thermal Oxidizer'!G33</f>
        <v>1</v>
      </c>
      <c r="H45" s="19"/>
      <c r="J45" t="s">
        <v>25</v>
      </c>
      <c r="K45" s="14" t="e">
        <f>(K42/(K37*C39)+C35)</f>
        <v>#DIV/0!</v>
      </c>
      <c r="L45" t="s">
        <v>34</v>
      </c>
    </row>
    <row r="46" spans="2:8" ht="12.75">
      <c r="B46" t="s">
        <v>15</v>
      </c>
      <c r="C46" s="3">
        <f>C31*C45</f>
        <v>0</v>
      </c>
      <c r="D46" s="3">
        <f>C31*D45</f>
        <v>0</v>
      </c>
      <c r="E46" s="3">
        <f>C31*E45</f>
        <v>0</v>
      </c>
      <c r="F46" s="3">
        <f>C31*F45</f>
        <v>0</v>
      </c>
      <c r="G46" s="3">
        <f>C31*G45</f>
        <v>8760</v>
      </c>
      <c r="H46" s="20">
        <f>$F$20*H45</f>
        <v>0</v>
      </c>
    </row>
    <row r="47" spans="10:11" ht="12.75">
      <c r="J47" t="s">
        <v>26</v>
      </c>
      <c r="K47" s="1" t="e">
        <f>(C44*C46)+(D44*D46)+(E44*E46)+(F44*F46)+G44*G46</f>
        <v>#DIV/0!</v>
      </c>
    </row>
    <row r="48" ht="12.75"/>
    <row r="49" spans="2:8" ht="15.75">
      <c r="B49" t="s">
        <v>9</v>
      </c>
      <c r="C49" s="2">
        <f>'Thermal Oxidizer'!E22</f>
        <v>0</v>
      </c>
      <c r="D49" s="2">
        <f>C49</f>
        <v>0</v>
      </c>
      <c r="E49" s="2">
        <f>C49</f>
        <v>0</v>
      </c>
      <c r="F49" s="2">
        <f>C49</f>
        <v>0</v>
      </c>
      <c r="G49" s="2">
        <f>D49</f>
        <v>0</v>
      </c>
      <c r="H49" s="17" t="s">
        <v>31</v>
      </c>
    </row>
    <row r="50" spans="2:10" ht="15.75">
      <c r="B50" t="s">
        <v>5</v>
      </c>
      <c r="C50" s="2" t="e">
        <f>IF('Thermal Oxidizer'!$F$38='Thermal Oxidizer'!I13,'Thermal Oxidizer'!$F$49,C49-$K$42/($K$37*C39+$K$38*C40))</f>
        <v>#DIV/0!</v>
      </c>
      <c r="D50" s="2" t="e">
        <f>IF('Thermal Oxidizer'!$F$38="Exhaust Temperature",'Thermal Oxidizer'!$F$49,D49-$K$42/($K$37*D39+$K$38*D40))</f>
        <v>#DIV/0!</v>
      </c>
      <c r="E50" s="2" t="e">
        <f>IF('Thermal Oxidizer'!$F$38="Exhaust Temperature",'Thermal Oxidizer'!$F$49,E49-$K$42/($K$37*E39+$K$38*E40))</f>
        <v>#DIV/0!</v>
      </c>
      <c r="F50" s="2" t="e">
        <f>IF('Thermal Oxidizer'!$F$38="Exhaust Temperature",'Thermal Oxidizer'!$F$49,F49-$K$42/($K$37*F39+$K$38*F40))</f>
        <v>#DIV/0!</v>
      </c>
      <c r="G50" s="2" t="e">
        <f>IF('Thermal Oxidizer'!$F$38="Exhaust Temperature",'Thermal Oxidizer'!$F$49,G49-$K$42/($K$37*G39+$K$38*G40))</f>
        <v>#DIV/0!</v>
      </c>
      <c r="H50" s="17" t="s">
        <v>31</v>
      </c>
      <c r="J50" s="11" t="e">
        <f>-(-2+0.02*C50)*((0.0258+3.7855*(100*'Thermal Oxidizer'!G37)+0.60844*(100*'Thermal Oxidizer'!G37)^2-0.06275*(100*'Thermal Oxidizer'!G37)^3+0.00493*(100*'Thermal Oxidizer'!G37)^4)/100)</f>
        <v>#DIV/0!</v>
      </c>
    </row>
    <row r="51" spans="2:8" ht="15.75">
      <c r="B51" t="s">
        <v>6</v>
      </c>
      <c r="C51" s="4">
        <f>IF('Thermal Oxidizer'!$F$38='Thermal Oxidizer'!I12,'Thermal Oxidizer'!$F$49/100,$K$42/(($K$37*(C49-$G$9)*C39)+($K$38*(C49-$G$9)*C40)))</f>
        <v>0</v>
      </c>
      <c r="D51" s="4">
        <f>IF('Thermal Oxidizer'!$F$38="Efficiency",'Thermal Oxidizer'!$F$49/100,$K$42/(($K$37*(D49-$G$9)*D39)+($K$38*(D49-$G$9)*D40)))</f>
        <v>0</v>
      </c>
      <c r="E51" s="4">
        <f>IF('Thermal Oxidizer'!$F$38="Efficiency",'Thermal Oxidizer'!$F$49/100,$K$42/(($K$37*(E49-$G$9)*E39)+($K$38*(E49-$G$9)*E40)))</f>
        <v>0</v>
      </c>
      <c r="F51" s="4">
        <f>IF('Thermal Oxidizer'!$F$38="Efficiency",'Thermal Oxidizer'!$F$49/100,$K$42/(($K$37*(F49-$G$9)*F39)+($K$38*(F49-$G$9)*F40)))</f>
        <v>0</v>
      </c>
      <c r="G51" s="4">
        <f>IF('Thermal Oxidizer'!$F$38="Efficiency",'Thermal Oxidizer'!$F$49/100,$K$42/(($K$37*(G49-$G$9)*G39)+($K$38*(G49-$G$9)*G40)))</f>
        <v>0</v>
      </c>
      <c r="H51" s="18"/>
    </row>
    <row r="52" spans="3:10" ht="13.5" thickBot="1">
      <c r="C52" s="1"/>
      <c r="J52" s="11">
        <f>(0.0258+3.7855*(100*'Thermal Oxidizer'!G37)+0.60844*(100*'Thermal Oxidizer'!G37)^2-0.06275*(100*'Thermal Oxidizer'!G37)^3+0.00493*(100*'Thermal Oxidizer'!G37)^4)</f>
        <v>85.2748</v>
      </c>
    </row>
    <row r="53" spans="2:8" ht="13.5" thickBot="1">
      <c r="B53" t="s">
        <v>14</v>
      </c>
      <c r="C53" s="7" t="e">
        <f>C44*C46</f>
        <v>#DIV/0!</v>
      </c>
      <c r="D53" s="7" t="e">
        <f>D44*D46</f>
        <v>#DIV/0!</v>
      </c>
      <c r="E53" s="7" t="e">
        <f>E44*E46</f>
        <v>#DIV/0!</v>
      </c>
      <c r="F53" s="7" t="e">
        <f>F44*F46</f>
        <v>#DIV/0!</v>
      </c>
      <c r="G53" s="7" t="e">
        <f>G44*G46</f>
        <v>#DIV/0!</v>
      </c>
      <c r="H53" s="15" t="e">
        <f>SUM(C53:G53)</f>
        <v>#DIV/0!</v>
      </c>
    </row>
    <row r="54" ht="12.75"/>
    <row r="55" ht="12.75">
      <c r="J55">
        <f>100*'Thermal Oxidizer'!G37</f>
        <v>10</v>
      </c>
    </row>
    <row r="56" ht="12.75"/>
  </sheetData>
  <printOptions/>
  <pageMargins left="0.75" right="0.75" top="1" bottom="1" header="0.5" footer="0.5"/>
  <pageSetup fitToHeight="1" fitToWidth="1" horizontalDpi="600" verticalDpi="600" orientation="landscape" scale="61" r:id="rId3"/>
  <legacyDrawing r:id="rId2"/>
</worksheet>
</file>

<file path=xl/worksheets/sheet4.xml><?xml version="1.0" encoding="utf-8"?>
<worksheet xmlns="http://schemas.openxmlformats.org/spreadsheetml/2006/main" xmlns:r="http://schemas.openxmlformats.org/officeDocument/2006/relationships">
  <sheetPr codeName="Sheet7">
    <pageSetUpPr fitToPage="1"/>
  </sheetPr>
  <dimension ref="B1:O53"/>
  <sheetViews>
    <sheetView workbookViewId="0" topLeftCell="A1">
      <selection activeCell="C30" sqref="C30"/>
    </sheetView>
  </sheetViews>
  <sheetFormatPr defaultColWidth="9.140625" defaultRowHeight="12.75"/>
  <cols>
    <col min="2" max="2" width="25.28125" style="0" bestFit="1" customWidth="1"/>
    <col min="3" max="7" width="10.7109375" style="0" customWidth="1"/>
    <col min="8" max="8" width="15.7109375" style="16" customWidth="1"/>
    <col min="9" max="9" width="11.00390625" style="16" customWidth="1"/>
    <col min="10" max="10" width="18.421875" style="0" customWidth="1"/>
    <col min="11" max="11" width="18.140625" style="0" customWidth="1"/>
    <col min="13" max="13" width="12.00390625" style="0" bestFit="1" customWidth="1"/>
  </cols>
  <sheetData>
    <row r="1" ht="12.75">
      <c r="B1" s="16" t="s">
        <v>37</v>
      </c>
    </row>
    <row r="2" spans="14:15" ht="12.75">
      <c r="N2" s="26" t="s">
        <v>61</v>
      </c>
      <c r="O2" s="26" t="s">
        <v>60</v>
      </c>
    </row>
    <row r="3" spans="2:15" ht="12.75">
      <c r="B3" t="s">
        <v>21</v>
      </c>
      <c r="C3" s="2" t="e">
        <f>H27</f>
        <v>#DIV/0!</v>
      </c>
      <c r="M3" s="37" t="s">
        <v>59</v>
      </c>
      <c r="N3" s="38">
        <v>0.4</v>
      </c>
      <c r="O3" s="38">
        <v>0.6</v>
      </c>
    </row>
    <row r="4" spans="13:15" ht="12.75">
      <c r="M4" s="37" t="s">
        <v>62</v>
      </c>
      <c r="N4" s="38">
        <v>0.6</v>
      </c>
      <c r="O4" s="38">
        <v>0.95</v>
      </c>
    </row>
    <row r="5" spans="2:15" ht="12.75">
      <c r="B5" t="s">
        <v>63</v>
      </c>
      <c r="C5" s="42">
        <v>8760</v>
      </c>
      <c r="M5" s="37" t="s">
        <v>68</v>
      </c>
      <c r="N5" s="26">
        <v>1700</v>
      </c>
      <c r="O5" t="s">
        <v>34</v>
      </c>
    </row>
    <row r="6" ht="12.75"/>
    <row r="7" spans="2:5" ht="12.75">
      <c r="B7" t="s">
        <v>0</v>
      </c>
      <c r="C7" s="1"/>
      <c r="D7" t="s">
        <v>19</v>
      </c>
      <c r="E7" s="11" t="s">
        <v>17</v>
      </c>
    </row>
    <row r="8" spans="3:11" ht="25.5">
      <c r="C8" s="1"/>
      <c r="G8" s="41" t="s">
        <v>33</v>
      </c>
      <c r="K8" s="28"/>
    </row>
    <row r="9" spans="2:9" ht="15.75">
      <c r="B9" t="s">
        <v>1</v>
      </c>
      <c r="C9" s="2">
        <f>'Thermal Oxidizer'!E23</f>
        <v>0</v>
      </c>
      <c r="D9" s="2">
        <f>C9</f>
        <v>0</v>
      </c>
      <c r="E9" s="2">
        <f>C9</f>
        <v>0</v>
      </c>
      <c r="F9" s="2">
        <f>C9</f>
        <v>0</v>
      </c>
      <c r="G9" s="2">
        <v>80</v>
      </c>
      <c r="H9" s="17" t="s">
        <v>31</v>
      </c>
      <c r="I9" s="21"/>
    </row>
    <row r="10" spans="2:9" ht="12.75">
      <c r="B10" t="s">
        <v>58</v>
      </c>
      <c r="C10" s="2">
        <f>'Thermal Oxidizer'!D29</f>
        <v>0</v>
      </c>
      <c r="D10" s="2">
        <f>'Thermal Oxidizer'!D30</f>
        <v>0</v>
      </c>
      <c r="E10" s="2">
        <f>'Thermal Oxidizer'!D31</f>
        <v>0</v>
      </c>
      <c r="F10" s="2">
        <f>'Thermal Oxidizer'!D32</f>
        <v>0</v>
      </c>
      <c r="G10" s="2">
        <f>'Thermal Oxidizer'!E48</f>
        <v>0</v>
      </c>
      <c r="H10" s="18" t="s">
        <v>16</v>
      </c>
      <c r="I10" s="22"/>
    </row>
    <row r="11" spans="2:11" ht="12.75">
      <c r="B11" t="s">
        <v>2</v>
      </c>
      <c r="C11" s="3">
        <f>C10*60*520*0.0763/(C9+460)</f>
        <v>0</v>
      </c>
      <c r="D11" s="3">
        <f>D10*60*520*0.0763/(D9+460)</f>
        <v>0</v>
      </c>
      <c r="E11" s="3">
        <f>E10*60*520*0.0763/(E9+460)</f>
        <v>0</v>
      </c>
      <c r="F11" s="3">
        <f>F10*60*520*0.0763/(F9+460)</f>
        <v>0</v>
      </c>
      <c r="G11" s="3">
        <f>G10*60*520*0.0763/(G9+460)</f>
        <v>0</v>
      </c>
      <c r="H11" s="18" t="s">
        <v>30</v>
      </c>
      <c r="I11" s="22"/>
      <c r="J11" t="s">
        <v>20</v>
      </c>
      <c r="K11" s="9">
        <f>(C11*C20)+(D11*D20)+(E11*E20)+(F11*F20)+G11*G20</f>
        <v>0</v>
      </c>
    </row>
    <row r="12" spans="2:11" ht="12.75">
      <c r="B12" t="s">
        <v>3</v>
      </c>
      <c r="C12" s="2">
        <f>IF('Thermal Oxidizer'!$E$12='Thermal Oxidizer'!$I$18,C10*60*'Thermal Oxidizer'!$E$25/'Case A'!C11,'Thermal Oxidizer'!$E$25)</f>
        <v>0</v>
      </c>
      <c r="D12" s="2">
        <f>C12</f>
        <v>0</v>
      </c>
      <c r="E12" s="2">
        <f>C12</f>
        <v>0</v>
      </c>
      <c r="F12" s="2">
        <f>C12</f>
        <v>0</v>
      </c>
      <c r="G12" s="29"/>
      <c r="H12" s="18" t="s">
        <v>4</v>
      </c>
      <c r="I12" s="22"/>
      <c r="J12" t="s">
        <v>22</v>
      </c>
      <c r="K12" s="9" t="e">
        <f>(($C$3*100)+($C$3*100*11.5))/13</f>
        <v>#DIV/0!</v>
      </c>
    </row>
    <row r="13" spans="2:9" ht="15.75">
      <c r="B13" t="s">
        <v>18</v>
      </c>
      <c r="C13" s="43">
        <v>0.24</v>
      </c>
      <c r="D13" s="13">
        <f>C13</f>
        <v>0.24</v>
      </c>
      <c r="E13" s="13">
        <f>C13</f>
        <v>0.24</v>
      </c>
      <c r="F13" s="13">
        <f>C13</f>
        <v>0.24</v>
      </c>
      <c r="G13" s="13">
        <f>C13</f>
        <v>0.24</v>
      </c>
      <c r="H13" s="18" t="s">
        <v>4</v>
      </c>
      <c r="I13" s="22"/>
    </row>
    <row r="14" spans="2:12" ht="15.75">
      <c r="B14" t="s">
        <v>7</v>
      </c>
      <c r="C14" s="43">
        <v>0.25</v>
      </c>
      <c r="D14" s="13">
        <f>C14</f>
        <v>0.25</v>
      </c>
      <c r="E14" s="13">
        <f>C14</f>
        <v>0.25</v>
      </c>
      <c r="F14" s="13">
        <f>C14</f>
        <v>0.25</v>
      </c>
      <c r="G14" s="13">
        <f>C14</f>
        <v>0.25</v>
      </c>
      <c r="H14" s="18" t="s">
        <v>32</v>
      </c>
      <c r="I14" s="22"/>
      <c r="J14" t="s">
        <v>23</v>
      </c>
      <c r="K14" s="12" t="e">
        <f>K11+K12</f>
        <v>#DIV/0!</v>
      </c>
      <c r="L14" t="s">
        <v>29</v>
      </c>
    </row>
    <row r="15" spans="2:9" ht="15.75">
      <c r="B15" t="s">
        <v>27</v>
      </c>
      <c r="C15" s="195" t="e">
        <f>IF('Thermal Oxidizer'!F36='Thermal Oxidizer'!I15,1,0.95-0.025*C24/100-(-2+0.02*C24)*'Thermal Oxidizer'!F37/100)</f>
        <v>#DIV/0!</v>
      </c>
      <c r="D15" s="4" t="e">
        <f>C15</f>
        <v>#DIV/0!</v>
      </c>
      <c r="E15" s="4" t="e">
        <f>C15</f>
        <v>#DIV/0!</v>
      </c>
      <c r="F15" s="4" t="e">
        <f>C15</f>
        <v>#DIV/0!</v>
      </c>
      <c r="G15" s="4" t="e">
        <f>D15</f>
        <v>#DIV/0!</v>
      </c>
      <c r="H15" s="18"/>
      <c r="I15" s="22"/>
    </row>
    <row r="16" spans="2:12" ht="15.75">
      <c r="B16" t="s">
        <v>8</v>
      </c>
      <c r="C16" s="3" t="e">
        <f>K19</f>
        <v>#DIV/0!</v>
      </c>
      <c r="D16" s="3" t="e">
        <f>C16</f>
        <v>#DIV/0!</v>
      </c>
      <c r="E16" s="3" t="e">
        <f>C16</f>
        <v>#DIV/0!</v>
      </c>
      <c r="F16" s="3" t="e">
        <f>C16</f>
        <v>#DIV/0!</v>
      </c>
      <c r="G16" s="3" t="e">
        <f>K19-F9+G9</f>
        <v>#DIV/0!</v>
      </c>
      <c r="H16" s="17" t="s">
        <v>31</v>
      </c>
      <c r="I16" s="21"/>
      <c r="J16" t="s">
        <v>24</v>
      </c>
      <c r="K16" s="10" t="e">
        <f>IF('Thermal Oxidizer'!F38="Efficiency",((K11*(C23-G9)*C13)+(K12*(C23-G9)*C14))*C25,(K11*(C23-C24)*C13)+(K12*(C23-C24)*C14))</f>
        <v>#DIV/0!</v>
      </c>
      <c r="L16" t="s">
        <v>28</v>
      </c>
    </row>
    <row r="17" spans="2:9" ht="15.75">
      <c r="B17" t="s">
        <v>10</v>
      </c>
      <c r="C17" s="3" t="e">
        <f>((C12/C13)+C16)</f>
        <v>#DIV/0!</v>
      </c>
      <c r="D17" s="3" t="e">
        <f>((D12/D13)+D16)</f>
        <v>#DIV/0!</v>
      </c>
      <c r="E17" s="3" t="e">
        <f>((E12/E13)+E16)</f>
        <v>#DIV/0!</v>
      </c>
      <c r="F17" s="3" t="e">
        <f>((F12/F13)+F16)</f>
        <v>#DIV/0!</v>
      </c>
      <c r="G17" s="3" t="e">
        <f>((G12/G13)+G16)</f>
        <v>#DIV/0!</v>
      </c>
      <c r="H17" s="17" t="s">
        <v>31</v>
      </c>
      <c r="I17" s="21"/>
    </row>
    <row r="18" spans="2:9" ht="12.75">
      <c r="B18" t="s">
        <v>11</v>
      </c>
      <c r="C18" s="5" t="e">
        <f>MAX(0,((C23-C17)*(C11*C13))/100000/C15)</f>
        <v>#DIV/0!</v>
      </c>
      <c r="D18" s="5" t="e">
        <f>MAX(0,((D23-D17)*(D11*D13))/100000/D15)</f>
        <v>#DIV/0!</v>
      </c>
      <c r="E18" s="5" t="e">
        <f>MAX(0,((E23-E17)*(E11*E13))/100000/E15)</f>
        <v>#DIV/0!</v>
      </c>
      <c r="F18" s="5" t="e">
        <f>MAX(0,((F23-F17)*(F11*F13))/100000/F15)</f>
        <v>#DIV/0!</v>
      </c>
      <c r="G18" s="5" t="e">
        <f>MAX(0,((G23-G17)*(G11*G13))/100000/G15)</f>
        <v>#DIV/0!</v>
      </c>
      <c r="H18" s="18" t="s">
        <v>12</v>
      </c>
      <c r="I18" s="22"/>
    </row>
    <row r="19" spans="2:12" ht="12.75">
      <c r="B19" t="s">
        <v>13</v>
      </c>
      <c r="C19" s="6">
        <f>'Thermal Oxidizer'!E29</f>
        <v>0</v>
      </c>
      <c r="D19" s="6">
        <f>'Thermal Oxidizer'!E30</f>
        <v>0</v>
      </c>
      <c r="E19" s="6">
        <f>'Thermal Oxidizer'!E31</f>
        <v>0</v>
      </c>
      <c r="F19" s="6">
        <f>'Thermal Oxidizer'!E32</f>
        <v>0</v>
      </c>
      <c r="G19" s="6">
        <f>'Thermal Oxidizer'!E33</f>
        <v>1</v>
      </c>
      <c r="H19" s="19"/>
      <c r="I19" s="23"/>
      <c r="J19" t="s">
        <v>25</v>
      </c>
      <c r="K19" s="14" t="e">
        <f>(K16/(K11*C13)+C9)</f>
        <v>#DIV/0!</v>
      </c>
      <c r="L19" t="s">
        <v>34</v>
      </c>
    </row>
    <row r="20" spans="2:9" ht="12.75">
      <c r="B20" t="s">
        <v>15</v>
      </c>
      <c r="C20" s="3">
        <f>C5*C19</f>
        <v>0</v>
      </c>
      <c r="D20" s="3">
        <f>C5*D19</f>
        <v>0</v>
      </c>
      <c r="E20" s="3">
        <f>C5*E19</f>
        <v>0</v>
      </c>
      <c r="F20" s="3">
        <f>C5*F19</f>
        <v>0</v>
      </c>
      <c r="G20" s="3">
        <f>C5*G19</f>
        <v>8760</v>
      </c>
      <c r="H20" s="20">
        <f>$F$20*H19</f>
        <v>0</v>
      </c>
      <c r="I20" s="24"/>
    </row>
    <row r="21" spans="10:11" ht="12.75">
      <c r="J21" t="s">
        <v>26</v>
      </c>
      <c r="K21" s="1" t="e">
        <f>(C18*C20)+(D18*D20)+(E18*E20)+(F18*F20)+G18*G20</f>
        <v>#DIV/0!</v>
      </c>
    </row>
    <row r="22" ht="12.75"/>
    <row r="23" spans="2:9" ht="15.75">
      <c r="B23" t="s">
        <v>9</v>
      </c>
      <c r="C23" s="2">
        <f>'Thermal Oxidizer'!E22</f>
        <v>0</v>
      </c>
      <c r="D23" s="2">
        <f>C23</f>
        <v>0</v>
      </c>
      <c r="E23" s="2">
        <f>C23</f>
        <v>0</v>
      </c>
      <c r="F23" s="2">
        <f>C23</f>
        <v>0</v>
      </c>
      <c r="G23" s="2">
        <f>D23</f>
        <v>0</v>
      </c>
      <c r="H23" s="17" t="s">
        <v>31</v>
      </c>
      <c r="I23" s="21"/>
    </row>
    <row r="24" spans="2:9" ht="15.75">
      <c r="B24" t="s">
        <v>5</v>
      </c>
      <c r="C24" s="2" t="e">
        <f>IF('Thermal Oxidizer'!$F$38='Thermal Oxidizer'!$I$13,'Thermal Oxidizer'!$E$60,C23-$K$16/($K$11*C13+$K$12*C14))</f>
        <v>#DIV/0!</v>
      </c>
      <c r="D24" s="2" t="e">
        <f>IF('Thermal Oxidizer'!$F$38='Thermal Oxidizer'!$I$13,'Thermal Oxidizer'!$E$60,D23-$K$16/($K$11*D13+$K$12*D14))</f>
        <v>#DIV/0!</v>
      </c>
      <c r="E24" s="2" t="e">
        <f>IF('Thermal Oxidizer'!$F$38='Thermal Oxidizer'!$I$13,'Thermal Oxidizer'!$E$60,E23-$K$16/($K$11*E13+$K$12*E14))</f>
        <v>#DIV/0!</v>
      </c>
      <c r="F24" s="2" t="e">
        <f>IF('Thermal Oxidizer'!$F$38='Thermal Oxidizer'!$I$13,'Thermal Oxidizer'!$E$60,F23-$K$16/($K$11*F13+$K$12*F14))</f>
        <v>#DIV/0!</v>
      </c>
      <c r="G24" s="2" t="e">
        <f>IF('Thermal Oxidizer'!$F$38='Thermal Oxidizer'!$I$13,'Thermal Oxidizer'!$E$60,G23-$K$16/($K$11*G13+$K$12*G14))</f>
        <v>#DIV/0!</v>
      </c>
      <c r="H24" s="17" t="s">
        <v>31</v>
      </c>
      <c r="I24" s="21"/>
    </row>
    <row r="25" spans="2:13" ht="15.75">
      <c r="B25" t="s">
        <v>6</v>
      </c>
      <c r="C25" s="4">
        <f>IF('Thermal Oxidizer'!$F$38='Thermal Oxidizer'!$I$12,'Thermal Oxidizer'!$E$60/100,$K$42/(($K$37*(C23-$G$9)*C13)+($K$38*(C23-$G$9)*C14)))</f>
        <v>0</v>
      </c>
      <c r="D25" s="4">
        <f>IF('Thermal Oxidizer'!$F$38='Thermal Oxidizer'!$I$12,'Thermal Oxidizer'!$E$60/100,$K$42/(($K$37*(D23-$G$9)*D13)+($K$38*(D23-$G$9)*D14)))</f>
        <v>0</v>
      </c>
      <c r="E25" s="4">
        <f>IF('Thermal Oxidizer'!$F$38='Thermal Oxidizer'!$I$12,'Thermal Oxidizer'!$E$60/100,$K$42/(($K$37*(E23-$G$9)*E13)+($K$38*(E23-$G$9)*E14)))</f>
        <v>0</v>
      </c>
      <c r="F25" s="4">
        <f>IF('Thermal Oxidizer'!$F$38='Thermal Oxidizer'!$I$12,'Thermal Oxidizer'!$E$60/100,$K$42/(($K$37*(F23-$G$9)*F13)+($K$38*(F23-$G$9)*F14)))</f>
        <v>0</v>
      </c>
      <c r="G25" s="4">
        <f>IF('Thermal Oxidizer'!$F$38='Thermal Oxidizer'!$I$12,'Thermal Oxidizer'!$E$60/100,$K$42/(($K$37*(G23-$G$9)*G13)+($K$38*(G23-$G$9)*G14)))</f>
        <v>0</v>
      </c>
      <c r="H25" s="18"/>
      <c r="I25" s="22"/>
      <c r="J25" s="40"/>
      <c r="K25" s="40"/>
      <c r="L25" s="40"/>
      <c r="M25" s="40"/>
    </row>
    <row r="26" ht="13.5" thickBot="1">
      <c r="C26" s="1"/>
    </row>
    <row r="27" spans="2:9" ht="13.5" thickBot="1">
      <c r="B27" t="s">
        <v>14</v>
      </c>
      <c r="C27" s="7" t="e">
        <f>C18*C20</f>
        <v>#DIV/0!</v>
      </c>
      <c r="D27" s="7" t="e">
        <f>D18*D20</f>
        <v>#DIV/0!</v>
      </c>
      <c r="E27" s="7" t="e">
        <f>E18*E20</f>
        <v>#DIV/0!</v>
      </c>
      <c r="F27" s="7" t="e">
        <f>F18*F20</f>
        <v>#DIV/0!</v>
      </c>
      <c r="G27" s="7" t="e">
        <f>G18*G20</f>
        <v>#DIV/0!</v>
      </c>
      <c r="H27" s="15" t="e">
        <f>SUM(C27:G27)</f>
        <v>#DIV/0!</v>
      </c>
      <c r="I27" s="25"/>
    </row>
    <row r="28" ht="12.75"/>
    <row r="29" spans="2:3" ht="12.75">
      <c r="B29" t="s">
        <v>21</v>
      </c>
      <c r="C29" s="2" t="e">
        <f>H53</f>
        <v>#DIV/0!</v>
      </c>
    </row>
    <row r="30" spans="6:7" ht="12.75">
      <c r="F30" s="16"/>
      <c r="G30" s="16"/>
    </row>
    <row r="31" spans="2:3" ht="12.75">
      <c r="B31" t="s">
        <v>63</v>
      </c>
      <c r="C31" s="2">
        <v>8760</v>
      </c>
    </row>
    <row r="32" ht="12.75"/>
    <row r="33" spans="2:10" ht="12.75">
      <c r="B33" s="16" t="s">
        <v>44</v>
      </c>
      <c r="C33" s="1"/>
      <c r="E33" s="11"/>
      <c r="J33" s="40"/>
    </row>
    <row r="34" spans="3:7" ht="25.5">
      <c r="C34" s="1"/>
      <c r="G34" s="41" t="s">
        <v>33</v>
      </c>
    </row>
    <row r="35" spans="2:8" ht="15.75">
      <c r="B35" t="s">
        <v>1</v>
      </c>
      <c r="C35" s="2">
        <f>'Thermal Oxidizer'!E23</f>
        <v>0</v>
      </c>
      <c r="D35" s="2">
        <f>C35</f>
        <v>0</v>
      </c>
      <c r="E35" s="2">
        <f>C35</f>
        <v>0</v>
      </c>
      <c r="F35" s="2">
        <f>C35</f>
        <v>0</v>
      </c>
      <c r="G35" s="2">
        <v>80</v>
      </c>
      <c r="H35" s="17" t="s">
        <v>31</v>
      </c>
    </row>
    <row r="36" spans="2:8" ht="12.75">
      <c r="B36" t="s">
        <v>58</v>
      </c>
      <c r="C36" s="2">
        <f>'Thermal Oxidizer'!F29</f>
        <v>0</v>
      </c>
      <c r="D36" s="2">
        <f>'Thermal Oxidizer'!F30</f>
        <v>0</v>
      </c>
      <c r="E36" s="2">
        <f>'Thermal Oxidizer'!F31</f>
        <v>0</v>
      </c>
      <c r="F36" s="2">
        <f>'Thermal Oxidizer'!F32</f>
        <v>0</v>
      </c>
      <c r="G36" s="2">
        <f>'Thermal Oxidizer'!F48</f>
        <v>0</v>
      </c>
      <c r="H36" s="18" t="s">
        <v>16</v>
      </c>
    </row>
    <row r="37" spans="2:11" ht="12.75">
      <c r="B37" t="s">
        <v>2</v>
      </c>
      <c r="C37" s="3">
        <f>C36*60*520*0.0763/(C35+460)</f>
        <v>0</v>
      </c>
      <c r="D37" s="3">
        <f>D36*60*520*0.0763/(D35+460)</f>
        <v>0</v>
      </c>
      <c r="E37" s="3">
        <f>E36*60*520*0.0763/(E35+460)</f>
        <v>0</v>
      </c>
      <c r="F37" s="3">
        <f>F36*60*520*0.0763/(F35+460)</f>
        <v>0</v>
      </c>
      <c r="G37" s="3">
        <f>G36*60*520*0.0763/(G35+460)</f>
        <v>0</v>
      </c>
      <c r="H37" s="18" t="s">
        <v>30</v>
      </c>
      <c r="J37" t="s">
        <v>20</v>
      </c>
      <c r="K37" s="9">
        <f>(C37*C46)+(D37*D46)+(E37*E46)+(F37*F46)+G37*G46</f>
        <v>0</v>
      </c>
    </row>
    <row r="38" spans="2:11" ht="12.75">
      <c r="B38" t="s">
        <v>3</v>
      </c>
      <c r="C38" s="2">
        <f>IF('Thermal Oxidizer'!$E$12='Thermal Oxidizer'!$I$18,C36*60*'Thermal Oxidizer'!$E$25/'Case A'!C37,'Thermal Oxidizer'!$E$25)</f>
        <v>0</v>
      </c>
      <c r="D38" s="2">
        <f>C38</f>
        <v>0</v>
      </c>
      <c r="E38" s="2">
        <f>C38</f>
        <v>0</v>
      </c>
      <c r="F38" s="2">
        <f>C38</f>
        <v>0</v>
      </c>
      <c r="G38" s="29"/>
      <c r="H38" s="18" t="s">
        <v>4</v>
      </c>
      <c r="J38" t="s">
        <v>22</v>
      </c>
      <c r="K38" s="9" t="e">
        <f>((C29*100)+(C29*100*11.5))/13</f>
        <v>#DIV/0!</v>
      </c>
    </row>
    <row r="39" spans="2:8" ht="15.75">
      <c r="B39" t="s">
        <v>18</v>
      </c>
      <c r="C39" s="13">
        <v>0.24</v>
      </c>
      <c r="D39" s="13">
        <f>C39</f>
        <v>0.24</v>
      </c>
      <c r="E39" s="13">
        <f>C39</f>
        <v>0.24</v>
      </c>
      <c r="F39" s="13">
        <f>C39</f>
        <v>0.24</v>
      </c>
      <c r="G39" s="13">
        <f>C39</f>
        <v>0.24</v>
      </c>
      <c r="H39" s="18" t="s">
        <v>4</v>
      </c>
    </row>
    <row r="40" spans="2:12" ht="15.75">
      <c r="B40" t="s">
        <v>7</v>
      </c>
      <c r="C40" s="13">
        <v>0.25</v>
      </c>
      <c r="D40" s="13">
        <f>C40</f>
        <v>0.25</v>
      </c>
      <c r="E40" s="13">
        <f>C40</f>
        <v>0.25</v>
      </c>
      <c r="F40" s="13">
        <f>C40</f>
        <v>0.25</v>
      </c>
      <c r="G40" s="13">
        <f>C40</f>
        <v>0.25</v>
      </c>
      <c r="H40" s="18" t="s">
        <v>32</v>
      </c>
      <c r="J40" t="s">
        <v>23</v>
      </c>
      <c r="K40" s="12" t="e">
        <f>K37+K38</f>
        <v>#DIV/0!</v>
      </c>
      <c r="L40" t="s">
        <v>29</v>
      </c>
    </row>
    <row r="41" spans="2:8" ht="15.75">
      <c r="B41" t="s">
        <v>27</v>
      </c>
      <c r="C41" s="195" t="e">
        <f>IF('Thermal Oxidizer'!G36='Thermal Oxidizer'!I15,1,0.95-0.025*C50/100-(-2+0.02*C50)*'Thermal Oxidizer'!G37/100)</f>
        <v>#DIV/0!</v>
      </c>
      <c r="D41" s="4" t="e">
        <f>C41</f>
        <v>#DIV/0!</v>
      </c>
      <c r="E41" s="4" t="e">
        <f>C41</f>
        <v>#DIV/0!</v>
      </c>
      <c r="F41" s="4" t="e">
        <f>C41</f>
        <v>#DIV/0!</v>
      </c>
      <c r="G41" s="4" t="e">
        <f>D41</f>
        <v>#DIV/0!</v>
      </c>
      <c r="H41" s="18"/>
    </row>
    <row r="42" spans="2:12" ht="15.75">
      <c r="B42" t="s">
        <v>8</v>
      </c>
      <c r="C42" s="3" t="e">
        <f>K45</f>
        <v>#DIV/0!</v>
      </c>
      <c r="D42" s="3" t="e">
        <f>C42</f>
        <v>#DIV/0!</v>
      </c>
      <c r="E42" s="3" t="e">
        <f>C42</f>
        <v>#DIV/0!</v>
      </c>
      <c r="F42" s="3" t="e">
        <f>C42</f>
        <v>#DIV/0!</v>
      </c>
      <c r="G42" s="3" t="e">
        <f>K45-F35+G35</f>
        <v>#DIV/0!</v>
      </c>
      <c r="H42" s="17" t="s">
        <v>31</v>
      </c>
      <c r="J42" t="s">
        <v>24</v>
      </c>
      <c r="K42" s="10" t="e">
        <f>IF('Thermal Oxidizer'!F38="Efficiency",((K37*(C49-G35)*C39)+(K38*(C49-G35)*C40))*C51,(K37*(C49-C50)*C39)+(K38*(C49-C50)*C40))</f>
        <v>#DIV/0!</v>
      </c>
      <c r="L42" t="s">
        <v>28</v>
      </c>
    </row>
    <row r="43" spans="2:12" ht="15.75">
      <c r="B43" t="s">
        <v>10</v>
      </c>
      <c r="C43" s="3" t="e">
        <f>((C38/C39)+C42)</f>
        <v>#DIV/0!</v>
      </c>
      <c r="D43" s="3" t="e">
        <f>((D38/D39)+D42)</f>
        <v>#DIV/0!</v>
      </c>
      <c r="E43" s="3" t="e">
        <f>((E38/E39)+E42)</f>
        <v>#DIV/0!</v>
      </c>
      <c r="F43" s="3" t="e">
        <f>((F38/F39)+F42)</f>
        <v>#DIV/0!</v>
      </c>
      <c r="G43" s="3" t="e">
        <f>((G38/G39)+G42)</f>
        <v>#DIV/0!</v>
      </c>
      <c r="H43" s="17" t="s">
        <v>31</v>
      </c>
      <c r="J43" t="s">
        <v>155</v>
      </c>
      <c r="K43" s="40" t="e">
        <f>ROUND(C43,0)</f>
        <v>#DIV/0!</v>
      </c>
      <c r="L43" t="s">
        <v>34</v>
      </c>
    </row>
    <row r="44" spans="2:8" ht="12.75">
      <c r="B44" t="s">
        <v>11</v>
      </c>
      <c r="C44" s="5" t="e">
        <f>MAX(0,((C49-C43)*(C37*C39))/100000/C41)</f>
        <v>#DIV/0!</v>
      </c>
      <c r="D44" s="5" t="e">
        <f>MAX(0,((D49-D43)*(D37*D39))/100000/D41)</f>
        <v>#DIV/0!</v>
      </c>
      <c r="E44" s="5" t="e">
        <f>MAX(0,((E49-E43)*(E37*E39))/100000/E41)</f>
        <v>#DIV/0!</v>
      </c>
      <c r="F44" s="5" t="e">
        <f>MAX(0,((F49-F43)*(F37*F39))/100000/F41)</f>
        <v>#DIV/0!</v>
      </c>
      <c r="G44" s="5" t="e">
        <f>MAX(0,((G49-G43)*(G37*G39))/100000/G41)</f>
        <v>#DIV/0!</v>
      </c>
      <c r="H44" s="18" t="s">
        <v>12</v>
      </c>
    </row>
    <row r="45" spans="2:12" ht="12.75">
      <c r="B45" t="s">
        <v>13</v>
      </c>
      <c r="C45" s="6">
        <f>'Thermal Oxidizer'!G29</f>
        <v>0</v>
      </c>
      <c r="D45" s="6">
        <f>'Thermal Oxidizer'!G30</f>
        <v>0</v>
      </c>
      <c r="E45" s="6">
        <f>'Thermal Oxidizer'!G31</f>
        <v>0</v>
      </c>
      <c r="F45" s="6">
        <f>'Thermal Oxidizer'!G32</f>
        <v>0</v>
      </c>
      <c r="G45" s="6">
        <f>'Thermal Oxidizer'!G33</f>
        <v>1</v>
      </c>
      <c r="H45" s="19"/>
      <c r="J45" t="s">
        <v>25</v>
      </c>
      <c r="K45" s="14" t="e">
        <f>(K42/(K37*C39)+C35)</f>
        <v>#DIV/0!</v>
      </c>
      <c r="L45" t="s">
        <v>34</v>
      </c>
    </row>
    <row r="46" spans="2:8" ht="12.75">
      <c r="B46" t="s">
        <v>15</v>
      </c>
      <c r="C46" s="3">
        <f>C31*C45</f>
        <v>0</v>
      </c>
      <c r="D46" s="3">
        <f>C31*D45</f>
        <v>0</v>
      </c>
      <c r="E46" s="3">
        <f>C31*E45</f>
        <v>0</v>
      </c>
      <c r="F46" s="3">
        <f>C31*F45</f>
        <v>0</v>
      </c>
      <c r="G46" s="3">
        <f>C31*G45</f>
        <v>8760</v>
      </c>
      <c r="H46" s="20">
        <f>$F$20*H45</f>
        <v>0</v>
      </c>
    </row>
    <row r="47" spans="10:11" ht="12.75">
      <c r="J47" t="s">
        <v>26</v>
      </c>
      <c r="K47" s="1" t="e">
        <f>(C44*C46)+(D44*D46)+(E44*E46)+(F44*F46)+G44*G46</f>
        <v>#DIV/0!</v>
      </c>
    </row>
    <row r="48" ht="12.75"/>
    <row r="49" spans="2:8" ht="15.75">
      <c r="B49" t="s">
        <v>9</v>
      </c>
      <c r="C49" s="2">
        <f>'Thermal Oxidizer'!E22</f>
        <v>0</v>
      </c>
      <c r="D49" s="2">
        <f>C49</f>
        <v>0</v>
      </c>
      <c r="E49" s="2">
        <f>C49</f>
        <v>0</v>
      </c>
      <c r="F49" s="2">
        <f>C49</f>
        <v>0</v>
      </c>
      <c r="G49" s="2">
        <f>D49</f>
        <v>0</v>
      </c>
      <c r="H49" s="17" t="s">
        <v>31</v>
      </c>
    </row>
    <row r="50" spans="2:8" ht="15.75">
      <c r="B50" t="s">
        <v>5</v>
      </c>
      <c r="C50" s="2" t="e">
        <f>IF('Thermal Oxidizer'!$F$38='Thermal Oxidizer'!$I$13,'Thermal Oxidizer'!$F$60,C49-$K$42/($K$37*C39+$K$38*C40))</f>
        <v>#DIV/0!</v>
      </c>
      <c r="D50" s="2" t="e">
        <f>IF('Thermal Oxidizer'!$F$38='Thermal Oxidizer'!$I$13,'Thermal Oxidizer'!$F$60,D49-$K$42/($K$37*D39+$K$38*D40))</f>
        <v>#DIV/0!</v>
      </c>
      <c r="E50" s="2" t="e">
        <f>IF('Thermal Oxidizer'!$F$38='Thermal Oxidizer'!$I$13,'Thermal Oxidizer'!$F$60,E49-$K$42/($K$37*E39+$K$38*E40))</f>
        <v>#DIV/0!</v>
      </c>
      <c r="F50" s="2" t="e">
        <f>IF('Thermal Oxidizer'!$F$38='Thermal Oxidizer'!$I$13,'Thermal Oxidizer'!$F$60,F49-$K$42/($K$37*F39+$K$38*F40))</f>
        <v>#DIV/0!</v>
      </c>
      <c r="G50" s="2" t="e">
        <f>IF('Thermal Oxidizer'!$F$38='Thermal Oxidizer'!$I$13,'Thermal Oxidizer'!$F$60,G49-$K$42/($K$37*G39+$K$38*G40))</f>
        <v>#DIV/0!</v>
      </c>
      <c r="H50" s="17" t="s">
        <v>31</v>
      </c>
    </row>
    <row r="51" spans="2:8" ht="15.75">
      <c r="B51" t="s">
        <v>6</v>
      </c>
      <c r="C51" s="4">
        <f>IF('Thermal Oxidizer'!$F$38='Thermal Oxidizer'!$I$12,'Thermal Oxidizer'!$F$60/100,$K$42/(($K$37*(C49-$G$9)*C39)+($K$38*(C49-$G$9)*C40)))</f>
        <v>0</v>
      </c>
      <c r="D51" s="4">
        <f>IF('Thermal Oxidizer'!$F$38='Thermal Oxidizer'!$I$12,'Thermal Oxidizer'!$F$60/100,$K$42/(($K$37*(D49-$G$9)*D39)+($K$38*(D49-$G$9)*D40)))</f>
        <v>0</v>
      </c>
      <c r="E51" s="4">
        <f>IF('Thermal Oxidizer'!$F$38='Thermal Oxidizer'!$I$12,'Thermal Oxidizer'!$F$60/100,$K$42/(($K$37*(E49-$G$9)*E39)+($K$38*(E49-$G$9)*E40)))</f>
        <v>0</v>
      </c>
      <c r="F51" s="4">
        <f>IF('Thermal Oxidizer'!$F$38='Thermal Oxidizer'!$I$12,'Thermal Oxidizer'!$F$60/100,$K$42/(($K$37*(F49-$G$9)*F39)+($K$38*(F49-$G$9)*F40)))</f>
        <v>0</v>
      </c>
      <c r="G51" s="4">
        <f>IF('Thermal Oxidizer'!$F$38='Thermal Oxidizer'!$I$12,'Thermal Oxidizer'!$F$60/100,$K$42/(($K$37*(G49-$G$9)*G39)+($K$38*(G49-$G$9)*G40)))</f>
        <v>0</v>
      </c>
      <c r="H51" s="18"/>
    </row>
    <row r="52" ht="13.5" thickBot="1">
      <c r="C52" s="1"/>
    </row>
    <row r="53" spans="2:10" ht="13.5" thickBot="1">
      <c r="B53" t="s">
        <v>14</v>
      </c>
      <c r="C53" s="7" t="e">
        <f>C44*C46</f>
        <v>#DIV/0!</v>
      </c>
      <c r="D53" s="7" t="e">
        <f>D44*D46</f>
        <v>#DIV/0!</v>
      </c>
      <c r="E53" s="7" t="e">
        <f>E44*E46</f>
        <v>#DIV/0!</v>
      </c>
      <c r="F53" s="7" t="e">
        <f>F44*F46</f>
        <v>#DIV/0!</v>
      </c>
      <c r="G53" s="7" t="e">
        <f>G44*G46</f>
        <v>#DIV/0!</v>
      </c>
      <c r="H53" s="15" t="e">
        <f>SUM(C53:G53)</f>
        <v>#DIV/0!</v>
      </c>
      <c r="J53" s="40" t="e">
        <f>H53</f>
        <v>#DIV/0!</v>
      </c>
    </row>
    <row r="54" ht="12.75"/>
    <row r="55" ht="12.75"/>
    <row r="56" ht="12.75"/>
  </sheetData>
  <printOptions/>
  <pageMargins left="0.75" right="0.75" top="1" bottom="1" header="0.5" footer="0.5"/>
  <pageSetup fitToHeight="0" fitToWidth="1" horizontalDpi="600" verticalDpi="600" orientation="landscape" scale="64" r:id="rId3"/>
  <legacyDrawing r:id="rId2"/>
</worksheet>
</file>

<file path=xl/worksheets/sheet5.xml><?xml version="1.0" encoding="utf-8"?>
<worksheet xmlns="http://schemas.openxmlformats.org/spreadsheetml/2006/main" xmlns:r="http://schemas.openxmlformats.org/officeDocument/2006/relationships">
  <sheetPr codeName="Sheet5">
    <pageSetUpPr fitToPage="1"/>
  </sheetPr>
  <dimension ref="B1:O53"/>
  <sheetViews>
    <sheetView workbookViewId="0" topLeftCell="A1">
      <selection activeCell="C30" sqref="C30"/>
    </sheetView>
  </sheetViews>
  <sheetFormatPr defaultColWidth="9.140625" defaultRowHeight="12.75"/>
  <cols>
    <col min="2" max="2" width="25.28125" style="0" bestFit="1" customWidth="1"/>
    <col min="3" max="7" width="10.7109375" style="0" customWidth="1"/>
    <col min="8" max="8" width="15.7109375" style="16" customWidth="1"/>
    <col min="9" max="9" width="11.00390625" style="16" customWidth="1"/>
    <col min="10" max="10" width="18.421875" style="0" customWidth="1"/>
    <col min="11" max="11" width="18.140625" style="0" customWidth="1"/>
    <col min="13" max="13" width="12.00390625" style="0" bestFit="1" customWidth="1"/>
  </cols>
  <sheetData>
    <row r="1" ht="12.75">
      <c r="B1" s="16" t="s">
        <v>37</v>
      </c>
    </row>
    <row r="2" spans="14:15" ht="12.75">
      <c r="N2" s="26" t="s">
        <v>61</v>
      </c>
      <c r="O2" s="26" t="s">
        <v>60</v>
      </c>
    </row>
    <row r="3" spans="2:15" ht="12.75">
      <c r="B3" t="s">
        <v>21</v>
      </c>
      <c r="C3" s="2" t="e">
        <f>H27</f>
        <v>#DIV/0!</v>
      </c>
      <c r="M3" s="37" t="s">
        <v>59</v>
      </c>
      <c r="N3" s="38">
        <v>0.4</v>
      </c>
      <c r="O3" s="38">
        <v>0.6</v>
      </c>
    </row>
    <row r="4" spans="13:15" ht="12.75">
      <c r="M4" s="37" t="s">
        <v>62</v>
      </c>
      <c r="N4" s="38">
        <v>0.6</v>
      </c>
      <c r="O4" s="38">
        <v>0.95</v>
      </c>
    </row>
    <row r="5" spans="2:15" ht="12.75">
      <c r="B5" t="s">
        <v>63</v>
      </c>
      <c r="C5" s="42">
        <v>8760</v>
      </c>
      <c r="M5" s="37" t="s">
        <v>68</v>
      </c>
      <c r="N5" s="26">
        <v>1700</v>
      </c>
      <c r="O5" t="s">
        <v>34</v>
      </c>
    </row>
    <row r="6" ht="12.75"/>
    <row r="7" spans="2:5" ht="12.75">
      <c r="B7" t="s">
        <v>0</v>
      </c>
      <c r="C7" s="1"/>
      <c r="D7" t="s">
        <v>19</v>
      </c>
      <c r="E7" s="11" t="s">
        <v>17</v>
      </c>
    </row>
    <row r="8" spans="3:11" ht="25.5">
      <c r="C8" s="1"/>
      <c r="G8" s="41" t="s">
        <v>33</v>
      </c>
      <c r="K8" s="28"/>
    </row>
    <row r="9" spans="2:9" ht="15.75">
      <c r="B9" t="s">
        <v>1</v>
      </c>
      <c r="C9" s="2">
        <f>'Thermal Oxidizer'!E23</f>
        <v>0</v>
      </c>
      <c r="D9" s="2">
        <f>C9</f>
        <v>0</v>
      </c>
      <c r="E9" s="2">
        <f>C9</f>
        <v>0</v>
      </c>
      <c r="F9" s="2">
        <f>C9</f>
        <v>0</v>
      </c>
      <c r="G9" s="2">
        <v>80</v>
      </c>
      <c r="H9" s="17" t="s">
        <v>31</v>
      </c>
      <c r="I9" s="21"/>
    </row>
    <row r="10" spans="2:9" ht="12.75">
      <c r="B10" t="s">
        <v>58</v>
      </c>
      <c r="C10" s="2">
        <f>'Thermal Oxidizer'!D29</f>
        <v>0</v>
      </c>
      <c r="D10" s="2">
        <f>'Thermal Oxidizer'!D30</f>
        <v>0</v>
      </c>
      <c r="E10" s="2">
        <f>'Thermal Oxidizer'!D31</f>
        <v>0</v>
      </c>
      <c r="F10" s="2">
        <f>'Thermal Oxidizer'!D32</f>
        <v>0</v>
      </c>
      <c r="G10" s="2">
        <f>'Thermal Oxidizer'!E48</f>
        <v>0</v>
      </c>
      <c r="H10" s="18" t="s">
        <v>16</v>
      </c>
      <c r="I10" s="22"/>
    </row>
    <row r="11" spans="2:11" ht="12.75">
      <c r="B11" t="s">
        <v>2</v>
      </c>
      <c r="C11" s="3">
        <f>C10*60*520*0.0763/(C9+460)</f>
        <v>0</v>
      </c>
      <c r="D11" s="3">
        <f>D10*60*520*0.0763/(D9+460)</f>
        <v>0</v>
      </c>
      <c r="E11" s="3">
        <f>E10*60*520*0.0763/(E9+460)</f>
        <v>0</v>
      </c>
      <c r="F11" s="3">
        <f>F10*60*520*0.0763/(F9+460)</f>
        <v>0</v>
      </c>
      <c r="G11" s="3">
        <f>G10*60*520*0.0763/(G9+460)</f>
        <v>0</v>
      </c>
      <c r="H11" s="18" t="s">
        <v>30</v>
      </c>
      <c r="I11" s="22"/>
      <c r="J11" t="s">
        <v>20</v>
      </c>
      <c r="K11" s="9">
        <f>(C11*C20)+(D11*D20)+(E11*E20)+(F11*F20)+G11*G20</f>
        <v>0</v>
      </c>
    </row>
    <row r="12" spans="2:11" ht="12.75">
      <c r="B12" t="s">
        <v>3</v>
      </c>
      <c r="C12" s="2">
        <f>IF('Thermal Oxidizer'!$E$12='Thermal Oxidizer'!$I$18,C10*60*'Thermal Oxidizer'!$E$25/'Case A'!C11,'Thermal Oxidizer'!$E$25)</f>
        <v>0</v>
      </c>
      <c r="D12" s="2">
        <f>C12</f>
        <v>0</v>
      </c>
      <c r="E12" s="2">
        <f>C12</f>
        <v>0</v>
      </c>
      <c r="F12" s="2">
        <f>C12</f>
        <v>0</v>
      </c>
      <c r="G12" s="29"/>
      <c r="H12" s="18" t="s">
        <v>4</v>
      </c>
      <c r="I12" s="22"/>
      <c r="J12" t="s">
        <v>22</v>
      </c>
      <c r="K12" s="9" t="e">
        <f>(($C$3*100)+($C$3*100*11.5))/13</f>
        <v>#DIV/0!</v>
      </c>
    </row>
    <row r="13" spans="2:9" ht="15.75">
      <c r="B13" t="s">
        <v>18</v>
      </c>
      <c r="C13" s="43">
        <v>0.24</v>
      </c>
      <c r="D13" s="13">
        <f>C13</f>
        <v>0.24</v>
      </c>
      <c r="E13" s="13">
        <f>C13</f>
        <v>0.24</v>
      </c>
      <c r="F13" s="13">
        <f>C13</f>
        <v>0.24</v>
      </c>
      <c r="G13" s="13">
        <f>C13</f>
        <v>0.24</v>
      </c>
      <c r="H13" s="18" t="s">
        <v>4</v>
      </c>
      <c r="I13" s="22"/>
    </row>
    <row r="14" spans="2:12" ht="15.75">
      <c r="B14" t="s">
        <v>7</v>
      </c>
      <c r="C14" s="43">
        <v>0.25</v>
      </c>
      <c r="D14" s="13">
        <f>C14</f>
        <v>0.25</v>
      </c>
      <c r="E14" s="13">
        <f>C14</f>
        <v>0.25</v>
      </c>
      <c r="F14" s="13">
        <f>C14</f>
        <v>0.25</v>
      </c>
      <c r="G14" s="13">
        <f>C14</f>
        <v>0.25</v>
      </c>
      <c r="H14" s="18" t="s">
        <v>32</v>
      </c>
      <c r="I14" s="22"/>
      <c r="J14" t="s">
        <v>23</v>
      </c>
      <c r="K14" s="12" t="e">
        <f>K11+K12</f>
        <v>#DIV/0!</v>
      </c>
      <c r="L14" t="s">
        <v>29</v>
      </c>
    </row>
    <row r="15" spans="2:9" ht="15.75">
      <c r="B15" t="s">
        <v>27</v>
      </c>
      <c r="C15" s="195">
        <f>IF('Thermal Oxidizer'!F36='Thermal Oxidizer'!I15,1,0.95-0.025*C24/100-(-2+0.02*C24)*'Thermal Oxidizer'!F37/100)</f>
        <v>0.952</v>
      </c>
      <c r="D15" s="4">
        <f>C15</f>
        <v>0.952</v>
      </c>
      <c r="E15" s="4">
        <f>C15</f>
        <v>0.952</v>
      </c>
      <c r="F15" s="4">
        <f>C15</f>
        <v>0.952</v>
      </c>
      <c r="G15" s="4">
        <f>D15</f>
        <v>0.952</v>
      </c>
      <c r="H15" s="18"/>
      <c r="I15" s="22"/>
    </row>
    <row r="16" spans="2:12" ht="15.75">
      <c r="B16" t="s">
        <v>8</v>
      </c>
      <c r="C16" s="3" t="e">
        <f>K19</f>
        <v>#DIV/0!</v>
      </c>
      <c r="D16" s="3" t="e">
        <f>C16</f>
        <v>#DIV/0!</v>
      </c>
      <c r="E16" s="3" t="e">
        <f>C16</f>
        <v>#DIV/0!</v>
      </c>
      <c r="F16" s="3" t="e">
        <f>C16</f>
        <v>#DIV/0!</v>
      </c>
      <c r="G16" s="3" t="e">
        <f>K19-F9+G9</f>
        <v>#DIV/0!</v>
      </c>
      <c r="H16" s="17" t="s">
        <v>31</v>
      </c>
      <c r="I16" s="21"/>
      <c r="J16" t="s">
        <v>24</v>
      </c>
      <c r="K16" s="10" t="e">
        <f>IF('Thermal Oxidizer'!F38="Efficiency",((K11*(C23-G9)*C13)+(K12*(C23-G9)*C14))*C25,(K11*(C23-C24)*C13)+(K12*(C23-C24)*C14))</f>
        <v>#DIV/0!</v>
      </c>
      <c r="L16" t="s">
        <v>28</v>
      </c>
    </row>
    <row r="17" spans="2:9" ht="15.75">
      <c r="B17" t="s">
        <v>10</v>
      </c>
      <c r="C17" s="3" t="e">
        <f>((C12/C13)+C16)</f>
        <v>#DIV/0!</v>
      </c>
      <c r="D17" s="3" t="e">
        <f>((D12/D13)+D16)</f>
        <v>#DIV/0!</v>
      </c>
      <c r="E17" s="3" t="e">
        <f>((E12/E13)+E16)</f>
        <v>#DIV/0!</v>
      </c>
      <c r="F17" s="3" t="e">
        <f>((F12/F13)+F16)</f>
        <v>#DIV/0!</v>
      </c>
      <c r="G17" s="3" t="e">
        <f>((G12/G13)+G16)</f>
        <v>#DIV/0!</v>
      </c>
      <c r="H17" s="17" t="s">
        <v>31</v>
      </c>
      <c r="I17" s="21"/>
    </row>
    <row r="18" spans="2:9" ht="12.75">
      <c r="B18" t="s">
        <v>11</v>
      </c>
      <c r="C18" s="5" t="e">
        <f>MAX(0,((C23-C17)*(C11*C13))/100000/C15)</f>
        <v>#DIV/0!</v>
      </c>
      <c r="D18" s="5" t="e">
        <f>MAX(0,((D23-D17)*(D11*D13))/100000/D15)</f>
        <v>#DIV/0!</v>
      </c>
      <c r="E18" s="5" t="e">
        <f>MAX(0,((E23-E17)*(E11*E13))/100000/E15)</f>
        <v>#DIV/0!</v>
      </c>
      <c r="F18" s="5" t="e">
        <f>MAX(0,((F23-F17)*(F11*F13))/100000/F15)</f>
        <v>#DIV/0!</v>
      </c>
      <c r="G18" s="5" t="e">
        <f>MAX(0,((G23-G17)*(G11*G13))/100000/G15)</f>
        <v>#DIV/0!</v>
      </c>
      <c r="H18" s="18" t="s">
        <v>12</v>
      </c>
      <c r="I18" s="22"/>
    </row>
    <row r="19" spans="2:12" ht="12.75">
      <c r="B19" t="s">
        <v>13</v>
      </c>
      <c r="C19" s="6">
        <f>'Thermal Oxidizer'!E29</f>
        <v>0</v>
      </c>
      <c r="D19" s="6">
        <f>'Thermal Oxidizer'!E30</f>
        <v>0</v>
      </c>
      <c r="E19" s="6">
        <f>'Thermal Oxidizer'!E31</f>
        <v>0</v>
      </c>
      <c r="F19" s="6">
        <f>'Thermal Oxidizer'!E32</f>
        <v>0</v>
      </c>
      <c r="G19" s="6">
        <f>'Thermal Oxidizer'!E33</f>
        <v>1</v>
      </c>
      <c r="H19" s="19"/>
      <c r="I19" s="23"/>
      <c r="J19" t="s">
        <v>25</v>
      </c>
      <c r="K19" s="14" t="e">
        <f>(K16/(K11*C13)+C9)</f>
        <v>#DIV/0!</v>
      </c>
      <c r="L19" t="s">
        <v>34</v>
      </c>
    </row>
    <row r="20" spans="2:9" ht="12.75">
      <c r="B20" t="s">
        <v>15</v>
      </c>
      <c r="C20" s="3">
        <f>C5*C19</f>
        <v>0</v>
      </c>
      <c r="D20" s="3">
        <f>C5*D19</f>
        <v>0</v>
      </c>
      <c r="E20" s="3">
        <f>C5*E19</f>
        <v>0</v>
      </c>
      <c r="F20" s="3">
        <f>C5*F19</f>
        <v>0</v>
      </c>
      <c r="G20" s="3">
        <f>C5*G19</f>
        <v>8760</v>
      </c>
      <c r="H20" s="20">
        <f>$F$20*H19</f>
        <v>0</v>
      </c>
      <c r="I20" s="24"/>
    </row>
    <row r="21" spans="10:11" ht="12.75">
      <c r="J21" t="s">
        <v>26</v>
      </c>
      <c r="K21" s="1" t="e">
        <f>(C18*C20)+(D18*D20)+(E18*E20)+(F18*F20)+G18*G20</f>
        <v>#DIV/0!</v>
      </c>
    </row>
    <row r="22" ht="12.75"/>
    <row r="23" spans="2:9" ht="15.75">
      <c r="B23" t="s">
        <v>9</v>
      </c>
      <c r="C23" s="2">
        <f>'Thermal Oxidizer'!E22</f>
        <v>0</v>
      </c>
      <c r="D23" s="2">
        <f>C23</f>
        <v>0</v>
      </c>
      <c r="E23" s="2">
        <f>C23</f>
        <v>0</v>
      </c>
      <c r="F23" s="2">
        <f>C23</f>
        <v>0</v>
      </c>
      <c r="G23" s="2">
        <f>D23</f>
        <v>0</v>
      </c>
      <c r="H23" s="17" t="s">
        <v>31</v>
      </c>
      <c r="I23" s="21"/>
    </row>
    <row r="24" spans="2:9" ht="15.75">
      <c r="B24" t="s">
        <v>5</v>
      </c>
      <c r="C24" s="2">
        <f>C23</f>
        <v>0</v>
      </c>
      <c r="D24" s="2">
        <f>D23</f>
        <v>0</v>
      </c>
      <c r="E24" s="2">
        <f>E23</f>
        <v>0</v>
      </c>
      <c r="F24" s="2">
        <f>F23</f>
        <v>0</v>
      </c>
      <c r="G24" s="2">
        <f>G23</f>
        <v>0</v>
      </c>
      <c r="H24" s="17" t="s">
        <v>31</v>
      </c>
      <c r="I24" s="21"/>
    </row>
    <row r="25" spans="2:13" ht="15.75">
      <c r="B25" t="s">
        <v>6</v>
      </c>
      <c r="C25" s="44">
        <v>0</v>
      </c>
      <c r="D25" s="4">
        <f>$C$25</f>
        <v>0</v>
      </c>
      <c r="E25" s="4">
        <f>$C$25</f>
        <v>0</v>
      </c>
      <c r="F25" s="4">
        <f>$C$25</f>
        <v>0</v>
      </c>
      <c r="G25" s="4">
        <f>$C$25</f>
        <v>0</v>
      </c>
      <c r="H25" s="18"/>
      <c r="I25" s="22"/>
      <c r="J25" s="40"/>
      <c r="K25" s="40"/>
      <c r="L25" s="40"/>
      <c r="M25" s="40"/>
    </row>
    <row r="26" ht="13.5" thickBot="1">
      <c r="C26" s="1"/>
    </row>
    <row r="27" spans="2:9" ht="13.5" thickBot="1">
      <c r="B27" t="s">
        <v>14</v>
      </c>
      <c r="C27" s="7" t="e">
        <f>C18*C20</f>
        <v>#DIV/0!</v>
      </c>
      <c r="D27" s="7" t="e">
        <f>D18*D20</f>
        <v>#DIV/0!</v>
      </c>
      <c r="E27" s="7" t="e">
        <f>E18*E20</f>
        <v>#DIV/0!</v>
      </c>
      <c r="F27" s="7" t="e">
        <f>F18*F20</f>
        <v>#DIV/0!</v>
      </c>
      <c r="G27" s="7" t="e">
        <f>G18*G20</f>
        <v>#DIV/0!</v>
      </c>
      <c r="H27" s="15" t="e">
        <f>SUM(C27:G27)</f>
        <v>#DIV/0!</v>
      </c>
      <c r="I27" s="25"/>
    </row>
    <row r="28" ht="12.75"/>
    <row r="29" spans="2:3" ht="12.75">
      <c r="B29" t="s">
        <v>21</v>
      </c>
      <c r="C29" s="2" t="e">
        <f>H53</f>
        <v>#DIV/0!</v>
      </c>
    </row>
    <row r="30" spans="6:7" ht="12.75">
      <c r="F30" s="16"/>
      <c r="G30" s="16"/>
    </row>
    <row r="31" spans="2:3" ht="12.75">
      <c r="B31" t="s">
        <v>63</v>
      </c>
      <c r="C31" s="2">
        <v>8760</v>
      </c>
    </row>
    <row r="32" ht="12.75"/>
    <row r="33" spans="2:10" ht="12.75">
      <c r="B33" s="16" t="s">
        <v>44</v>
      </c>
      <c r="C33" s="1"/>
      <c r="E33" s="11"/>
      <c r="J33" s="40"/>
    </row>
    <row r="34" spans="3:7" ht="25.5">
      <c r="C34" s="1"/>
      <c r="G34" s="41" t="s">
        <v>33</v>
      </c>
    </row>
    <row r="35" spans="2:8" ht="15.75">
      <c r="B35" t="s">
        <v>1</v>
      </c>
      <c r="C35" s="2">
        <f>'Thermal Oxidizer'!E23</f>
        <v>0</v>
      </c>
      <c r="D35" s="2">
        <f>C35</f>
        <v>0</v>
      </c>
      <c r="E35" s="2">
        <f>C35</f>
        <v>0</v>
      </c>
      <c r="F35" s="2">
        <f>C35</f>
        <v>0</v>
      </c>
      <c r="G35" s="2">
        <v>80</v>
      </c>
      <c r="H35" s="17" t="s">
        <v>31</v>
      </c>
    </row>
    <row r="36" spans="2:8" ht="12.75">
      <c r="B36" t="s">
        <v>58</v>
      </c>
      <c r="C36" s="2">
        <f>'Thermal Oxidizer'!F29</f>
        <v>0</v>
      </c>
      <c r="D36" s="2">
        <f>'Thermal Oxidizer'!F30</f>
        <v>0</v>
      </c>
      <c r="E36" s="2">
        <f>'Thermal Oxidizer'!F31</f>
        <v>0</v>
      </c>
      <c r="F36" s="2">
        <f>'Thermal Oxidizer'!F32</f>
        <v>0</v>
      </c>
      <c r="G36" s="2">
        <f>'Thermal Oxidizer'!F48</f>
        <v>0</v>
      </c>
      <c r="H36" s="18" t="s">
        <v>16</v>
      </c>
    </row>
    <row r="37" spans="2:11" ht="12.75">
      <c r="B37" t="s">
        <v>2</v>
      </c>
      <c r="C37" s="3">
        <f>C36*60*520*0.0763/(C35+460)</f>
        <v>0</v>
      </c>
      <c r="D37" s="3">
        <f>D36*60*520*0.0763/(D35+460)</f>
        <v>0</v>
      </c>
      <c r="E37" s="3">
        <f>E36*60*520*0.0763/(E35+460)</f>
        <v>0</v>
      </c>
      <c r="F37" s="3">
        <f>F36*60*520*0.0763/(F35+460)</f>
        <v>0</v>
      </c>
      <c r="G37" s="3">
        <f>G36*60*520*0.0763/(G35+460)</f>
        <v>0</v>
      </c>
      <c r="H37" s="18" t="s">
        <v>30</v>
      </c>
      <c r="J37" t="s">
        <v>20</v>
      </c>
      <c r="K37" s="9">
        <f>(C37*C46)+(D37*D46)+(E37*E46)+(F37*F46)+G37*G46</f>
        <v>0</v>
      </c>
    </row>
    <row r="38" spans="2:11" ht="12.75">
      <c r="B38" t="s">
        <v>3</v>
      </c>
      <c r="C38" s="2">
        <f>IF('Thermal Oxidizer'!$E$12='Thermal Oxidizer'!$I$18,C36*60*'Thermal Oxidizer'!$E$25/'Case A'!C37,'Thermal Oxidizer'!$E$25)</f>
        <v>0</v>
      </c>
      <c r="D38" s="2">
        <f>C38</f>
        <v>0</v>
      </c>
      <c r="E38" s="2">
        <f>C38</f>
        <v>0</v>
      </c>
      <c r="F38" s="2">
        <f>C38</f>
        <v>0</v>
      </c>
      <c r="G38" s="29"/>
      <c r="H38" s="18" t="s">
        <v>4</v>
      </c>
      <c r="J38" t="s">
        <v>22</v>
      </c>
      <c r="K38" s="9" t="e">
        <f>((C29*100)+(C29*100*11.5))/13</f>
        <v>#DIV/0!</v>
      </c>
    </row>
    <row r="39" spans="2:8" ht="15.75">
      <c r="B39" t="s">
        <v>18</v>
      </c>
      <c r="C39" s="13">
        <v>0.24</v>
      </c>
      <c r="D39" s="13">
        <f>C39</f>
        <v>0.24</v>
      </c>
      <c r="E39" s="13">
        <f>C39</f>
        <v>0.24</v>
      </c>
      <c r="F39" s="13">
        <f>C39</f>
        <v>0.24</v>
      </c>
      <c r="G39" s="13">
        <f>C39</f>
        <v>0.24</v>
      </c>
      <c r="H39" s="18" t="s">
        <v>4</v>
      </c>
    </row>
    <row r="40" spans="2:12" ht="15.75">
      <c r="B40" t="s">
        <v>7</v>
      </c>
      <c r="C40" s="13">
        <v>0.25</v>
      </c>
      <c r="D40" s="13">
        <f>C40</f>
        <v>0.25</v>
      </c>
      <c r="E40" s="13">
        <f>C40</f>
        <v>0.25</v>
      </c>
      <c r="F40" s="13">
        <f>C40</f>
        <v>0.25</v>
      </c>
      <c r="G40" s="13">
        <f>C40</f>
        <v>0.25</v>
      </c>
      <c r="H40" s="18" t="s">
        <v>32</v>
      </c>
      <c r="J40" t="s">
        <v>23</v>
      </c>
      <c r="K40" s="12" t="e">
        <f>K37+K38</f>
        <v>#DIV/0!</v>
      </c>
      <c r="L40" t="s">
        <v>29</v>
      </c>
    </row>
    <row r="41" spans="2:8" ht="15.75">
      <c r="B41" t="s">
        <v>27</v>
      </c>
      <c r="C41" s="195" t="e">
        <f>IF('Thermal Oxidizer'!G36='Thermal Oxidizer'!I15,1,0.95-0.025*C50/100-(-2+0.02*C50)*'Thermal Oxidizer'!G37/100)</f>
        <v>#DIV/0!</v>
      </c>
      <c r="D41" s="4" t="e">
        <f>C41</f>
        <v>#DIV/0!</v>
      </c>
      <c r="E41" s="4" t="e">
        <f>C41</f>
        <v>#DIV/0!</v>
      </c>
      <c r="F41" s="4" t="e">
        <f>C41</f>
        <v>#DIV/0!</v>
      </c>
      <c r="G41" s="4" t="e">
        <f>D41</f>
        <v>#DIV/0!</v>
      </c>
      <c r="H41" s="18"/>
    </row>
    <row r="42" spans="2:12" ht="15.75">
      <c r="B42" t="s">
        <v>8</v>
      </c>
      <c r="C42" s="3" t="e">
        <f>K45</f>
        <v>#DIV/0!</v>
      </c>
      <c r="D42" s="3" t="e">
        <f>C42</f>
        <v>#DIV/0!</v>
      </c>
      <c r="E42" s="3" t="e">
        <f>C42</f>
        <v>#DIV/0!</v>
      </c>
      <c r="F42" s="3" t="e">
        <f>C42</f>
        <v>#DIV/0!</v>
      </c>
      <c r="G42" s="3" t="e">
        <f>K45-F35+G35</f>
        <v>#DIV/0!</v>
      </c>
      <c r="H42" s="17" t="s">
        <v>31</v>
      </c>
      <c r="J42" t="s">
        <v>24</v>
      </c>
      <c r="K42" s="10" t="e">
        <f>IF('Thermal Oxidizer'!F38="Efficiency",((K37*(C49-G35)*C39)+(K38*(C49-G35)*C40))*C51,(K37*(C49-C50)*C39)+(K38*(C49-C50)*C40))</f>
        <v>#DIV/0!</v>
      </c>
      <c r="L42" t="s">
        <v>28</v>
      </c>
    </row>
    <row r="43" spans="2:12" ht="15.75">
      <c r="B43" t="s">
        <v>10</v>
      </c>
      <c r="C43" s="3" t="e">
        <f>((C38/C39)+C42)</f>
        <v>#DIV/0!</v>
      </c>
      <c r="D43" s="3" t="e">
        <f>((D38/D39)+D42)</f>
        <v>#DIV/0!</v>
      </c>
      <c r="E43" s="3" t="e">
        <f>((E38/E39)+E42)</f>
        <v>#DIV/0!</v>
      </c>
      <c r="F43" s="3" t="e">
        <f>((F38/F39)+F42)</f>
        <v>#DIV/0!</v>
      </c>
      <c r="G43" s="3" t="e">
        <f>((G38/G39)+G42)</f>
        <v>#DIV/0!</v>
      </c>
      <c r="H43" s="17" t="s">
        <v>31</v>
      </c>
      <c r="J43" t="s">
        <v>155</v>
      </c>
      <c r="K43" s="40" t="e">
        <f>ROUND(C43,0)</f>
        <v>#DIV/0!</v>
      </c>
      <c r="L43" t="s">
        <v>34</v>
      </c>
    </row>
    <row r="44" spans="2:8" ht="12.75">
      <c r="B44" t="s">
        <v>11</v>
      </c>
      <c r="C44" s="5" t="e">
        <f>MAX(0,((C49-C43)*(C37*C39))/100000/C41)</f>
        <v>#DIV/0!</v>
      </c>
      <c r="D44" s="5" t="e">
        <f>MAX(0,((D49-D43)*(D37*D39))/100000/D41)</f>
        <v>#DIV/0!</v>
      </c>
      <c r="E44" s="5" t="e">
        <f>MAX(0,((E49-E43)*(E37*E39))/100000/E41)</f>
        <v>#DIV/0!</v>
      </c>
      <c r="F44" s="5" t="e">
        <f>MAX(0,((F49-F43)*(F37*F39))/100000/F41)</f>
        <v>#DIV/0!</v>
      </c>
      <c r="G44" s="5" t="e">
        <f>MAX(0,((G49-G43)*(G37*G39))/100000/G41)</f>
        <v>#DIV/0!</v>
      </c>
      <c r="H44" s="18" t="s">
        <v>12</v>
      </c>
    </row>
    <row r="45" spans="2:12" ht="12.75">
      <c r="B45" t="s">
        <v>13</v>
      </c>
      <c r="C45" s="6">
        <f>'Thermal Oxidizer'!G29</f>
        <v>0</v>
      </c>
      <c r="D45" s="6">
        <f>'Thermal Oxidizer'!G30</f>
        <v>0</v>
      </c>
      <c r="E45" s="6">
        <f>'Thermal Oxidizer'!G31</f>
        <v>0</v>
      </c>
      <c r="F45" s="6">
        <f>'Thermal Oxidizer'!G32</f>
        <v>0</v>
      </c>
      <c r="G45" s="6">
        <f>'Thermal Oxidizer'!G33</f>
        <v>1</v>
      </c>
      <c r="H45" s="19"/>
      <c r="J45" t="s">
        <v>25</v>
      </c>
      <c r="K45" s="14" t="e">
        <f>(K42/(K37*C39)+C35)</f>
        <v>#DIV/0!</v>
      </c>
      <c r="L45" t="s">
        <v>34</v>
      </c>
    </row>
    <row r="46" spans="2:8" ht="12.75">
      <c r="B46" t="s">
        <v>15</v>
      </c>
      <c r="C46" s="3">
        <f>C31*C45</f>
        <v>0</v>
      </c>
      <c r="D46" s="3">
        <f>C31*D45</f>
        <v>0</v>
      </c>
      <c r="E46" s="3">
        <f>C31*E45</f>
        <v>0</v>
      </c>
      <c r="F46" s="3">
        <f>C31*F45</f>
        <v>0</v>
      </c>
      <c r="G46" s="3">
        <f>C31*G45</f>
        <v>8760</v>
      </c>
      <c r="H46" s="20">
        <f>$F$20*H45</f>
        <v>0</v>
      </c>
    </row>
    <row r="47" spans="10:11" ht="12.75">
      <c r="J47" t="s">
        <v>26</v>
      </c>
      <c r="K47" s="1" t="e">
        <f>(C44*C46)+(D44*D46)+(E44*E46)+(F44*F46)+G44*G46</f>
        <v>#DIV/0!</v>
      </c>
    </row>
    <row r="48" ht="12.75"/>
    <row r="49" spans="2:8" ht="15.75">
      <c r="B49" t="s">
        <v>9</v>
      </c>
      <c r="C49" s="2">
        <f>'Thermal Oxidizer'!E22</f>
        <v>0</v>
      </c>
      <c r="D49" s="2">
        <f>C49</f>
        <v>0</v>
      </c>
      <c r="E49" s="2">
        <f>C49</f>
        <v>0</v>
      </c>
      <c r="F49" s="2">
        <f>C49</f>
        <v>0</v>
      </c>
      <c r="G49" s="2">
        <f>D49</f>
        <v>0</v>
      </c>
      <c r="H49" s="17" t="s">
        <v>31</v>
      </c>
    </row>
    <row r="50" spans="2:8" ht="15.75">
      <c r="B50" t="s">
        <v>5</v>
      </c>
      <c r="C50" s="49" t="e">
        <f>IF('Thermal Oxidizer'!$F$38='Thermal Oxidizer'!$I$13,'Thermal Oxidizer'!$F$71,C49-$K$42/($K$37*C39+$K$38*C40))</f>
        <v>#DIV/0!</v>
      </c>
      <c r="D50" s="49" t="e">
        <f>IF('Thermal Oxidizer'!$F$38='Thermal Oxidizer'!$I$13,'Thermal Oxidizer'!$F$71,D49-$K$42/($K$37*D39+$K$38*D40))</f>
        <v>#DIV/0!</v>
      </c>
      <c r="E50" s="49" t="e">
        <f>IF('Thermal Oxidizer'!$F$38='Thermal Oxidizer'!$I$13,'Thermal Oxidizer'!$F$71,E49-$K$42/($K$37*E39+$K$38*E40))</f>
        <v>#DIV/0!</v>
      </c>
      <c r="F50" s="49" t="e">
        <f>IF('Thermal Oxidizer'!$F$38='Thermal Oxidizer'!$I$13,'Thermal Oxidizer'!$F$71,F49-$K$42/($K$37*F39+$K$38*F40))</f>
        <v>#DIV/0!</v>
      </c>
      <c r="G50" s="49" t="e">
        <f>IF('Thermal Oxidizer'!$F$38='Thermal Oxidizer'!$I$13,'Thermal Oxidizer'!$F$71,G49-$K$42/($K$37*G39+$K$38*G40))</f>
        <v>#DIV/0!</v>
      </c>
      <c r="H50" s="17" t="s">
        <v>31</v>
      </c>
    </row>
    <row r="51" spans="2:8" ht="15.75">
      <c r="B51" t="s">
        <v>6</v>
      </c>
      <c r="C51" s="4">
        <f>IF('Thermal Oxidizer'!$F$38='Thermal Oxidizer'!$I$12,'Thermal Oxidizer'!$F$71/100,$K$42/(($K$37*(C49-$G$9)*C39)+($K$38*(C49-$G$9)*C40)))</f>
        <v>0</v>
      </c>
      <c r="D51" s="4">
        <f>IF('Thermal Oxidizer'!$F$38='Thermal Oxidizer'!$I$12,'Thermal Oxidizer'!$F$71/100,$K$42/(($K$37*(D49-$G$9)*D39)+($K$38*(D49-$G$9)*D40)))</f>
        <v>0</v>
      </c>
      <c r="E51" s="4">
        <f>IF('Thermal Oxidizer'!$F$38='Thermal Oxidizer'!$I$12,'Thermal Oxidizer'!$F$71/100,$K$42/(($K$37*(E49-$G$9)*E39)+($K$38*(E49-$G$9)*E40)))</f>
        <v>0</v>
      </c>
      <c r="F51" s="4">
        <f>IF('Thermal Oxidizer'!$F$38='Thermal Oxidizer'!$I$12,'Thermal Oxidizer'!$F$71/100,$K$42/(($K$37*(F49-$G$9)*F39)+($K$38*(F49-$G$9)*F40)))</f>
        <v>0</v>
      </c>
      <c r="G51" s="4">
        <f>IF('Thermal Oxidizer'!$F$38='Thermal Oxidizer'!$I$12,'Thermal Oxidizer'!$F$71/100,$K$42/(($K$37*(G49-$G$9)*G39)+($K$38*(G49-$G$9)*G40)))</f>
        <v>0</v>
      </c>
      <c r="H51" s="18"/>
    </row>
    <row r="52" ht="13.5" thickBot="1">
      <c r="C52" s="1"/>
    </row>
    <row r="53" spans="2:10" ht="13.5" thickBot="1">
      <c r="B53" t="s">
        <v>14</v>
      </c>
      <c r="C53" s="7" t="e">
        <f>C44*C46</f>
        <v>#DIV/0!</v>
      </c>
      <c r="D53" s="7" t="e">
        <f>D44*D46</f>
        <v>#DIV/0!</v>
      </c>
      <c r="E53" s="7" t="e">
        <f>E44*E46</f>
        <v>#DIV/0!</v>
      </c>
      <c r="F53" s="7" t="e">
        <f>F44*F46</f>
        <v>#DIV/0!</v>
      </c>
      <c r="G53" s="7" t="e">
        <f>G44*G46</f>
        <v>#DIV/0!</v>
      </c>
      <c r="H53" s="15" t="e">
        <f>SUM(C53:G53)</f>
        <v>#DIV/0!</v>
      </c>
      <c r="J53" s="40" t="e">
        <f>H53</f>
        <v>#DIV/0!</v>
      </c>
    </row>
    <row r="54" ht="12.75"/>
    <row r="55" ht="12.75"/>
    <row r="56" ht="12.75"/>
  </sheetData>
  <printOptions/>
  <pageMargins left="0.75" right="0.75" top="1" bottom="1" header="0.5" footer="0.5"/>
  <pageSetup fitToHeight="0" fitToWidth="1" horizontalDpi="600" verticalDpi="600" orientation="landscape" scale="64" r:id="rId3"/>
  <legacyDrawing r:id="rId2"/>
</worksheet>
</file>

<file path=xl/worksheets/sheet6.xml><?xml version="1.0" encoding="utf-8"?>
<worksheet xmlns="http://schemas.openxmlformats.org/spreadsheetml/2006/main" xmlns:r="http://schemas.openxmlformats.org/officeDocument/2006/relationships">
  <sheetPr codeName="Sheet4">
    <pageSetUpPr fitToPage="1"/>
  </sheetPr>
  <dimension ref="B1:O53"/>
  <sheetViews>
    <sheetView workbookViewId="0" topLeftCell="A10">
      <selection activeCell="C30" sqref="C30"/>
    </sheetView>
  </sheetViews>
  <sheetFormatPr defaultColWidth="9.140625" defaultRowHeight="12.75"/>
  <cols>
    <col min="2" max="2" width="25.28125" style="0" bestFit="1" customWidth="1"/>
    <col min="3" max="7" width="10.7109375" style="0" customWidth="1"/>
    <col min="8" max="8" width="15.7109375" style="16" customWidth="1"/>
    <col min="9" max="9" width="11.00390625" style="16" customWidth="1"/>
    <col min="10" max="10" width="18.421875" style="0" customWidth="1"/>
    <col min="11" max="11" width="18.140625" style="0" customWidth="1"/>
    <col min="13" max="13" width="12.00390625" style="0" bestFit="1" customWidth="1"/>
  </cols>
  <sheetData>
    <row r="1" ht="12.75">
      <c r="B1" s="16" t="s">
        <v>37</v>
      </c>
    </row>
    <row r="2" spans="14:15" ht="12.75">
      <c r="N2" s="26" t="s">
        <v>61</v>
      </c>
      <c r="O2" s="26" t="s">
        <v>60</v>
      </c>
    </row>
    <row r="3" spans="2:15" ht="12.75">
      <c r="B3" t="s">
        <v>21</v>
      </c>
      <c r="C3" s="2" t="e">
        <f>H27</f>
        <v>#DIV/0!</v>
      </c>
      <c r="M3" s="37" t="s">
        <v>59</v>
      </c>
      <c r="N3" s="38">
        <v>0.4</v>
      </c>
      <c r="O3" s="38">
        <v>0.6</v>
      </c>
    </row>
    <row r="4" spans="13:15" ht="12.75">
      <c r="M4" s="37" t="s">
        <v>62</v>
      </c>
      <c r="N4" s="38">
        <v>0.6</v>
      </c>
      <c r="O4" s="38">
        <v>0.95</v>
      </c>
    </row>
    <row r="5" spans="2:15" ht="12.75">
      <c r="B5" t="s">
        <v>63</v>
      </c>
      <c r="C5" s="42">
        <v>8760</v>
      </c>
      <c r="M5" s="37" t="s">
        <v>68</v>
      </c>
      <c r="N5" s="26">
        <v>1700</v>
      </c>
      <c r="O5" t="s">
        <v>34</v>
      </c>
    </row>
    <row r="6" ht="12.75"/>
    <row r="7" spans="2:5" ht="12.75">
      <c r="B7" t="s">
        <v>0</v>
      </c>
      <c r="C7" s="1"/>
      <c r="D7" t="s">
        <v>19</v>
      </c>
      <c r="E7" s="11" t="s">
        <v>17</v>
      </c>
    </row>
    <row r="8" spans="3:11" ht="25.5">
      <c r="C8" s="1"/>
      <c r="G8" s="41" t="s">
        <v>33</v>
      </c>
      <c r="K8" s="28"/>
    </row>
    <row r="9" spans="2:9" ht="15.75">
      <c r="B9" t="s">
        <v>1</v>
      </c>
      <c r="C9" s="2">
        <f>'Thermal Oxidizer'!E23</f>
        <v>0</v>
      </c>
      <c r="D9" s="2">
        <f>C9</f>
        <v>0</v>
      </c>
      <c r="E9" s="2">
        <f>C9</f>
        <v>0</v>
      </c>
      <c r="F9" s="2">
        <f>C9</f>
        <v>0</v>
      </c>
      <c r="G9" s="2">
        <v>80</v>
      </c>
      <c r="H9" s="17" t="s">
        <v>31</v>
      </c>
      <c r="I9" s="21"/>
    </row>
    <row r="10" spans="2:9" ht="12.75">
      <c r="B10" t="s">
        <v>58</v>
      </c>
      <c r="C10" s="2">
        <f>'Thermal Oxidizer'!D29</f>
        <v>0</v>
      </c>
      <c r="D10" s="2">
        <f>'Thermal Oxidizer'!D30</f>
        <v>0</v>
      </c>
      <c r="E10" s="2">
        <f>'Thermal Oxidizer'!D31</f>
        <v>0</v>
      </c>
      <c r="F10" s="2">
        <f>'Thermal Oxidizer'!D32</f>
        <v>0</v>
      </c>
      <c r="G10" s="2">
        <f>'Thermal Oxidizer'!E48</f>
        <v>0</v>
      </c>
      <c r="H10" s="18" t="s">
        <v>16</v>
      </c>
      <c r="I10" s="22"/>
    </row>
    <row r="11" spans="2:11" ht="12.75">
      <c r="B11" t="s">
        <v>2</v>
      </c>
      <c r="C11" s="3">
        <f>C10*60*520*0.0763/(C9+460)</f>
        <v>0</v>
      </c>
      <c r="D11" s="3">
        <f>D10*60*520*0.0763/(D9+460)</f>
        <v>0</v>
      </c>
      <c r="E11" s="3">
        <f>E10*60*520*0.0763/(E9+460)</f>
        <v>0</v>
      </c>
      <c r="F11" s="3">
        <f>F10*60*520*0.0763/(F9+460)</f>
        <v>0</v>
      </c>
      <c r="G11" s="3">
        <f>G10*60*520*0.0763/(G9+460)</f>
        <v>0</v>
      </c>
      <c r="H11" s="18" t="s">
        <v>30</v>
      </c>
      <c r="I11" s="22"/>
      <c r="J11" t="s">
        <v>20</v>
      </c>
      <c r="K11" s="9">
        <f>(C11*C20)+(D11*D20)+(E11*E20)+(F11*F20)+G11*G20</f>
        <v>0</v>
      </c>
    </row>
    <row r="12" spans="2:11" ht="12.75">
      <c r="B12" t="s">
        <v>3</v>
      </c>
      <c r="C12" s="2">
        <f>IF('Thermal Oxidizer'!$E$12='Thermal Oxidizer'!$I$18,C10*60*'Thermal Oxidizer'!$E$25/'Case A'!C11,'Thermal Oxidizer'!$E$25)</f>
        <v>0</v>
      </c>
      <c r="D12" s="2">
        <f>C12</f>
        <v>0</v>
      </c>
      <c r="E12" s="2">
        <f>C12</f>
        <v>0</v>
      </c>
      <c r="F12" s="2">
        <f>C12</f>
        <v>0</v>
      </c>
      <c r="G12" s="29"/>
      <c r="H12" s="18" t="s">
        <v>4</v>
      </c>
      <c r="I12" s="22"/>
      <c r="J12" t="s">
        <v>22</v>
      </c>
      <c r="K12" s="9" t="e">
        <f>(($C$3*100)+($C$3*100*11.5))/13</f>
        <v>#DIV/0!</v>
      </c>
    </row>
    <row r="13" spans="2:9" ht="15.75">
      <c r="B13" t="s">
        <v>18</v>
      </c>
      <c r="C13" s="43">
        <v>0.24</v>
      </c>
      <c r="D13" s="13">
        <f>C13</f>
        <v>0.24</v>
      </c>
      <c r="E13" s="13">
        <f>C13</f>
        <v>0.24</v>
      </c>
      <c r="F13" s="13">
        <f>C13</f>
        <v>0.24</v>
      </c>
      <c r="G13" s="13">
        <f>C13</f>
        <v>0.24</v>
      </c>
      <c r="H13" s="18" t="s">
        <v>4</v>
      </c>
      <c r="I13" s="22"/>
    </row>
    <row r="14" spans="2:12" ht="15.75">
      <c r="B14" t="s">
        <v>7</v>
      </c>
      <c r="C14" s="43">
        <v>0.25</v>
      </c>
      <c r="D14" s="13">
        <f>C14</f>
        <v>0.25</v>
      </c>
      <c r="E14" s="13">
        <f>C14</f>
        <v>0.25</v>
      </c>
      <c r="F14" s="13">
        <f>C14</f>
        <v>0.25</v>
      </c>
      <c r="G14" s="13">
        <f>C14</f>
        <v>0.25</v>
      </c>
      <c r="H14" s="18" t="s">
        <v>32</v>
      </c>
      <c r="I14" s="22"/>
      <c r="J14" t="s">
        <v>23</v>
      </c>
      <c r="K14" s="12" t="e">
        <f>K11+K12</f>
        <v>#DIV/0!</v>
      </c>
      <c r="L14" t="s">
        <v>29</v>
      </c>
    </row>
    <row r="15" spans="2:9" ht="15.75">
      <c r="B15" t="s">
        <v>27</v>
      </c>
      <c r="C15" s="195" t="e">
        <f>IF('Thermal Oxidizer'!F36='Thermal Oxidizer'!I15,1,0.95-0.025*C24/100-(-2+0.02*C24)*'Thermal Oxidizer'!F37/100)</f>
        <v>#DIV/0!</v>
      </c>
      <c r="D15" s="4" t="e">
        <f>C15</f>
        <v>#DIV/0!</v>
      </c>
      <c r="E15" s="4" t="e">
        <f>C15</f>
        <v>#DIV/0!</v>
      </c>
      <c r="F15" s="4" t="e">
        <f>C15</f>
        <v>#DIV/0!</v>
      </c>
      <c r="G15" s="4" t="e">
        <f>D15</f>
        <v>#DIV/0!</v>
      </c>
      <c r="H15" s="18"/>
      <c r="I15" s="22"/>
    </row>
    <row r="16" spans="2:12" ht="15.75">
      <c r="B16" t="s">
        <v>8</v>
      </c>
      <c r="C16" s="3" t="e">
        <f>K19</f>
        <v>#DIV/0!</v>
      </c>
      <c r="D16" s="3" t="e">
        <f>C16</f>
        <v>#DIV/0!</v>
      </c>
      <c r="E16" s="3" t="e">
        <f>C16</f>
        <v>#DIV/0!</v>
      </c>
      <c r="F16" s="3" t="e">
        <f>C16</f>
        <v>#DIV/0!</v>
      </c>
      <c r="G16" s="3" t="e">
        <f>K19-F9+G9</f>
        <v>#DIV/0!</v>
      </c>
      <c r="H16" s="17" t="s">
        <v>31</v>
      </c>
      <c r="I16" s="21"/>
      <c r="J16" t="s">
        <v>24</v>
      </c>
      <c r="K16" s="10" t="e">
        <f>IF('Thermal Oxidizer'!F38="Efficiency",((K11*(C23-G9)*C13)+(K12*(C23-G9)*C14))*C25,(K11*(C23-C24)*C13)+(K12*(C23-C24)*C14))</f>
        <v>#DIV/0!</v>
      </c>
      <c r="L16" t="s">
        <v>28</v>
      </c>
    </row>
    <row r="17" spans="2:9" ht="15.75">
      <c r="B17" t="s">
        <v>10</v>
      </c>
      <c r="C17" s="3" t="e">
        <f>((C12/C13)+C16)</f>
        <v>#DIV/0!</v>
      </c>
      <c r="D17" s="3" t="e">
        <f>((D12/D13)+D16)</f>
        <v>#DIV/0!</v>
      </c>
      <c r="E17" s="3" t="e">
        <f>((E12/E13)+E16)</f>
        <v>#DIV/0!</v>
      </c>
      <c r="F17" s="3" t="e">
        <f>((F12/F13)+F16)</f>
        <v>#DIV/0!</v>
      </c>
      <c r="G17" s="3" t="e">
        <f>((G12/G13)+G16)</f>
        <v>#DIV/0!</v>
      </c>
      <c r="H17" s="17" t="s">
        <v>31</v>
      </c>
      <c r="I17" s="21"/>
    </row>
    <row r="18" spans="2:9" ht="12.75">
      <c r="B18" t="s">
        <v>11</v>
      </c>
      <c r="C18" s="5" t="e">
        <f>MAX(0,((C23-C17)*(C11*C13))/100000/C15)</f>
        <v>#DIV/0!</v>
      </c>
      <c r="D18" s="5" t="e">
        <f>MAX(0,((D23-D17)*(D11*D13))/100000/D15)</f>
        <v>#DIV/0!</v>
      </c>
      <c r="E18" s="5" t="e">
        <f>MAX(0,((E23-E17)*(E11*E13))/100000/E15)</f>
        <v>#DIV/0!</v>
      </c>
      <c r="F18" s="5" t="e">
        <f>MAX(0,((F23-F17)*(F11*F13))/100000/F15)</f>
        <v>#DIV/0!</v>
      </c>
      <c r="G18" s="5" t="e">
        <f>MAX(0,((G23-G17)*(G11*G13))/100000/G15)</f>
        <v>#DIV/0!</v>
      </c>
      <c r="H18" s="18" t="s">
        <v>12</v>
      </c>
      <c r="I18" s="22"/>
    </row>
    <row r="19" spans="2:12" ht="12.75">
      <c r="B19" t="s">
        <v>13</v>
      </c>
      <c r="C19" s="6">
        <f>'Thermal Oxidizer'!E29</f>
        <v>0</v>
      </c>
      <c r="D19" s="6">
        <f>'Thermal Oxidizer'!E30</f>
        <v>0</v>
      </c>
      <c r="E19" s="6">
        <f>'Thermal Oxidizer'!E31</f>
        <v>0</v>
      </c>
      <c r="F19" s="6">
        <f>'Thermal Oxidizer'!E32</f>
        <v>0</v>
      </c>
      <c r="G19" s="6">
        <f>'Thermal Oxidizer'!E33</f>
        <v>1</v>
      </c>
      <c r="H19" s="19"/>
      <c r="I19" s="23"/>
      <c r="J19" t="s">
        <v>25</v>
      </c>
      <c r="K19" s="14" t="e">
        <f>(K16/(K11*C13)+C9)</f>
        <v>#DIV/0!</v>
      </c>
      <c r="L19" t="s">
        <v>34</v>
      </c>
    </row>
    <row r="20" spans="2:9" ht="12.75">
      <c r="B20" t="s">
        <v>15</v>
      </c>
      <c r="C20" s="3">
        <f>C5*C19</f>
        <v>0</v>
      </c>
      <c r="D20" s="3">
        <f>C5*D19</f>
        <v>0</v>
      </c>
      <c r="E20" s="3">
        <f>C5*E19</f>
        <v>0</v>
      </c>
      <c r="F20" s="3">
        <f>C5*F19</f>
        <v>0</v>
      </c>
      <c r="G20" s="3">
        <f>C5*G19</f>
        <v>8760</v>
      </c>
      <c r="H20" s="20">
        <f>$F$20*H19</f>
        <v>0</v>
      </c>
      <c r="I20" s="24"/>
    </row>
    <row r="21" spans="10:11" ht="12.75">
      <c r="J21" t="s">
        <v>26</v>
      </c>
      <c r="K21" s="1" t="e">
        <f>(C18*C20)+(D18*D20)+(E18*E20)+(F18*F20)+G18*G20</f>
        <v>#DIV/0!</v>
      </c>
    </row>
    <row r="22" ht="12.75"/>
    <row r="23" spans="2:9" ht="15.75">
      <c r="B23" t="s">
        <v>9</v>
      </c>
      <c r="C23" s="2">
        <f>'Thermal Oxidizer'!E22</f>
        <v>0</v>
      </c>
      <c r="D23" s="2">
        <f>C23</f>
        <v>0</v>
      </c>
      <c r="E23" s="2">
        <f>C23</f>
        <v>0</v>
      </c>
      <c r="F23" s="2">
        <f>C23</f>
        <v>0</v>
      </c>
      <c r="G23" s="2">
        <f>D23</f>
        <v>0</v>
      </c>
      <c r="H23" s="17" t="s">
        <v>31</v>
      </c>
      <c r="I23" s="21"/>
    </row>
    <row r="24" spans="2:9" ht="15.75">
      <c r="B24" t="s">
        <v>5</v>
      </c>
      <c r="C24" s="49" t="e">
        <f>IF('Thermal Oxidizer'!$F$38='Thermal Oxidizer'!$I$13,'Thermal Oxidizer'!$E$82,C23-$K$16/($K$11*C13+$K$12*C14))</f>
        <v>#DIV/0!</v>
      </c>
      <c r="D24" s="49" t="e">
        <f>IF('Thermal Oxidizer'!$F$38='Thermal Oxidizer'!$I$13,'Thermal Oxidizer'!$E$82,D23-$K$16/($K$11*D13+$K$12*D14))</f>
        <v>#DIV/0!</v>
      </c>
      <c r="E24" s="49" t="e">
        <f>IF('Thermal Oxidizer'!$F$38='Thermal Oxidizer'!$I$13,'Thermal Oxidizer'!$E$82,E23-$K$16/($K$11*E13+$K$12*E14))</f>
        <v>#DIV/0!</v>
      </c>
      <c r="F24" s="49" t="e">
        <f>IF('Thermal Oxidizer'!$F$38='Thermal Oxidizer'!$I$13,'Thermal Oxidizer'!$E$82,F23-$K$16/($K$11*F13+$K$12*F14))</f>
        <v>#DIV/0!</v>
      </c>
      <c r="G24" s="49" t="e">
        <f>IF('Thermal Oxidizer'!$F$38='Thermal Oxidizer'!$I$13,'Thermal Oxidizer'!$E$82,G23-$K$16/($K$11*G13+$K$12*G14))</f>
        <v>#DIV/0!</v>
      </c>
      <c r="H24" s="17" t="s">
        <v>31</v>
      </c>
      <c r="I24" s="21"/>
    </row>
    <row r="25" spans="2:13" ht="15.75">
      <c r="B25" t="s">
        <v>6</v>
      </c>
      <c r="C25" s="4">
        <f>IF('Thermal Oxidizer'!$F$38='Thermal Oxidizer'!$I$12,'Thermal Oxidizer'!$E$82/100,$K$42/(($K$37*(C23-$G$9)*C13)+($K$38*(C23-$G$9)*C14)))</f>
        <v>0</v>
      </c>
      <c r="D25" s="4">
        <f>IF('Thermal Oxidizer'!$F$38='Thermal Oxidizer'!$I$12,'Thermal Oxidizer'!$E$82/100,$K$42/(($K$37*(D23-$G$9)*D13)+($K$38*(D23-$G$9)*D14)))</f>
        <v>0</v>
      </c>
      <c r="E25" s="4">
        <f>IF('Thermal Oxidizer'!$F$38='Thermal Oxidizer'!$I$12,'Thermal Oxidizer'!$E$82/100,$K$42/(($K$37*(E23-$G$9)*E13)+($K$38*(E23-$G$9)*E14)))</f>
        <v>0</v>
      </c>
      <c r="F25" s="4">
        <f>IF('Thermal Oxidizer'!$F$38='Thermal Oxidizer'!$I$12,'Thermal Oxidizer'!$E$82/100,$K$42/(($K$37*(F23-$G$9)*F13)+($K$38*(F23-$G$9)*F14)))</f>
        <v>0</v>
      </c>
      <c r="G25" s="4">
        <f>IF('Thermal Oxidizer'!$F$38='Thermal Oxidizer'!$I$12,'Thermal Oxidizer'!$E$82/100,$K$42/(($K$37*(G23-$G$9)*G13)+($K$38*(G23-$G$9)*G14)))</f>
        <v>0</v>
      </c>
      <c r="H25" s="18"/>
      <c r="I25" s="22"/>
      <c r="J25" s="40"/>
      <c r="K25" s="40"/>
      <c r="L25" s="40"/>
      <c r="M25" s="40"/>
    </row>
    <row r="26" ht="13.5" thickBot="1">
      <c r="C26" s="1"/>
    </row>
    <row r="27" spans="2:9" ht="13.5" thickBot="1">
      <c r="B27" t="s">
        <v>14</v>
      </c>
      <c r="C27" s="7" t="e">
        <f>C18*C20</f>
        <v>#DIV/0!</v>
      </c>
      <c r="D27" s="7" t="e">
        <f>D18*D20</f>
        <v>#DIV/0!</v>
      </c>
      <c r="E27" s="7" t="e">
        <f>E18*E20</f>
        <v>#DIV/0!</v>
      </c>
      <c r="F27" s="7" t="e">
        <f>F18*F20</f>
        <v>#DIV/0!</v>
      </c>
      <c r="G27" s="7" t="e">
        <f>G18*G20</f>
        <v>#DIV/0!</v>
      </c>
      <c r="H27" s="15" t="e">
        <f>SUM(C27:G27)</f>
        <v>#DIV/0!</v>
      </c>
      <c r="I27" s="25"/>
    </row>
    <row r="28" ht="12.75"/>
    <row r="29" spans="2:3" ht="12.75">
      <c r="B29" t="s">
        <v>21</v>
      </c>
      <c r="C29" s="2" t="e">
        <f>H53</f>
        <v>#DIV/0!</v>
      </c>
    </row>
    <row r="30" spans="6:7" ht="12.75">
      <c r="F30" s="16"/>
      <c r="G30" s="16"/>
    </row>
    <row r="31" spans="2:3" ht="12.75">
      <c r="B31" t="s">
        <v>63</v>
      </c>
      <c r="C31" s="2">
        <v>8760</v>
      </c>
    </row>
    <row r="32" ht="12.75"/>
    <row r="33" spans="2:10" ht="12.75">
      <c r="B33" s="16" t="s">
        <v>44</v>
      </c>
      <c r="C33" s="1"/>
      <c r="E33" s="11"/>
      <c r="J33" s="40"/>
    </row>
    <row r="34" spans="3:7" ht="25.5">
      <c r="C34" s="1"/>
      <c r="G34" s="41" t="s">
        <v>33</v>
      </c>
    </row>
    <row r="35" spans="2:8" ht="15.75">
      <c r="B35" t="s">
        <v>1</v>
      </c>
      <c r="C35" s="2">
        <f>'Thermal Oxidizer'!E23</f>
        <v>0</v>
      </c>
      <c r="D35" s="2">
        <f>C35</f>
        <v>0</v>
      </c>
      <c r="E35" s="2">
        <f>C35</f>
        <v>0</v>
      </c>
      <c r="F35" s="2">
        <f>C35</f>
        <v>0</v>
      </c>
      <c r="G35" s="2">
        <v>80</v>
      </c>
      <c r="H35" s="17" t="s">
        <v>31</v>
      </c>
    </row>
    <row r="36" spans="2:8" ht="12.75">
      <c r="B36" t="s">
        <v>58</v>
      </c>
      <c r="C36" s="2">
        <f>'Thermal Oxidizer'!F29</f>
        <v>0</v>
      </c>
      <c r="D36" s="2">
        <f>'Thermal Oxidizer'!F30</f>
        <v>0</v>
      </c>
      <c r="E36" s="2">
        <f>'Thermal Oxidizer'!F31</f>
        <v>0</v>
      </c>
      <c r="F36" s="2">
        <f>'Thermal Oxidizer'!F32</f>
        <v>0</v>
      </c>
      <c r="G36" s="2">
        <f>'Thermal Oxidizer'!F48</f>
        <v>0</v>
      </c>
      <c r="H36" s="18" t="s">
        <v>16</v>
      </c>
    </row>
    <row r="37" spans="2:11" ht="12.75">
      <c r="B37" t="s">
        <v>2</v>
      </c>
      <c r="C37" s="3">
        <f>C36*60*520*0.0763/(C35+460)</f>
        <v>0</v>
      </c>
      <c r="D37" s="3">
        <f>D36*60*520*0.0763/(D35+460)</f>
        <v>0</v>
      </c>
      <c r="E37" s="3">
        <f>E36*60*520*0.0763/(E35+460)</f>
        <v>0</v>
      </c>
      <c r="F37" s="3">
        <f>F36*60*520*0.0763/(F35+460)</f>
        <v>0</v>
      </c>
      <c r="G37" s="3">
        <f>G36*60*520*0.0763/(G35+460)</f>
        <v>0</v>
      </c>
      <c r="H37" s="18" t="s">
        <v>30</v>
      </c>
      <c r="J37" t="s">
        <v>20</v>
      </c>
      <c r="K37" s="9">
        <f>(C37*C46)+(D37*D46)+(E37*E46)+(F37*F46)+G37*G46</f>
        <v>0</v>
      </c>
    </row>
    <row r="38" spans="2:11" ht="12.75">
      <c r="B38" t="s">
        <v>3</v>
      </c>
      <c r="C38" s="2">
        <f>IF('Thermal Oxidizer'!$E$12='Thermal Oxidizer'!$I$18,C36*60*'Thermal Oxidizer'!$E$25/'Case A'!C37,'Thermal Oxidizer'!$E$25)</f>
        <v>0</v>
      </c>
      <c r="D38" s="2">
        <f>C38</f>
        <v>0</v>
      </c>
      <c r="E38" s="2">
        <f>C38</f>
        <v>0</v>
      </c>
      <c r="F38" s="2">
        <f>C38</f>
        <v>0</v>
      </c>
      <c r="G38" s="29"/>
      <c r="H38" s="18" t="s">
        <v>4</v>
      </c>
      <c r="J38" t="s">
        <v>22</v>
      </c>
      <c r="K38" s="9" t="e">
        <f>((C29*100)+(C29*100*11.5))/13</f>
        <v>#DIV/0!</v>
      </c>
    </row>
    <row r="39" spans="2:8" ht="15.75">
      <c r="B39" t="s">
        <v>18</v>
      </c>
      <c r="C39" s="13">
        <v>0.24</v>
      </c>
      <c r="D39" s="13">
        <f>C39</f>
        <v>0.24</v>
      </c>
      <c r="E39" s="13">
        <f>C39</f>
        <v>0.24</v>
      </c>
      <c r="F39" s="13">
        <f>C39</f>
        <v>0.24</v>
      </c>
      <c r="G39" s="13">
        <f>C39</f>
        <v>0.24</v>
      </c>
      <c r="H39" s="18" t="s">
        <v>4</v>
      </c>
    </row>
    <row r="40" spans="2:12" ht="15.75">
      <c r="B40" t="s">
        <v>7</v>
      </c>
      <c r="C40" s="13">
        <v>0.25</v>
      </c>
      <c r="D40" s="13">
        <f>C40</f>
        <v>0.25</v>
      </c>
      <c r="E40" s="13">
        <f>C40</f>
        <v>0.25</v>
      </c>
      <c r="F40" s="13">
        <f>C40</f>
        <v>0.25</v>
      </c>
      <c r="G40" s="13">
        <f>C40</f>
        <v>0.25</v>
      </c>
      <c r="H40" s="18" t="s">
        <v>32</v>
      </c>
      <c r="J40" t="s">
        <v>23</v>
      </c>
      <c r="K40" s="12" t="e">
        <f>K37+K38</f>
        <v>#DIV/0!</v>
      </c>
      <c r="L40" t="s">
        <v>29</v>
      </c>
    </row>
    <row r="41" spans="2:8" ht="15.75">
      <c r="B41" t="s">
        <v>27</v>
      </c>
      <c r="C41" s="195" t="e">
        <f>IF('Thermal Oxidizer'!G36='Thermal Oxidizer'!I15,1,0.95-0.025*C50/100-(-2+0.02*C50)*'Thermal Oxidizer'!G37/100)</f>
        <v>#DIV/0!</v>
      </c>
      <c r="D41" s="4" t="e">
        <f>C41</f>
        <v>#DIV/0!</v>
      </c>
      <c r="E41" s="4" t="e">
        <f>C41</f>
        <v>#DIV/0!</v>
      </c>
      <c r="F41" s="4" t="e">
        <f>C41</f>
        <v>#DIV/0!</v>
      </c>
      <c r="G41" s="4" t="e">
        <f>D41</f>
        <v>#DIV/0!</v>
      </c>
      <c r="H41" s="18"/>
    </row>
    <row r="42" spans="2:12" ht="15.75">
      <c r="B42" t="s">
        <v>8</v>
      </c>
      <c r="C42" s="3" t="e">
        <f>K45</f>
        <v>#DIV/0!</v>
      </c>
      <c r="D42" s="3" t="e">
        <f>C42</f>
        <v>#DIV/0!</v>
      </c>
      <c r="E42" s="3" t="e">
        <f>C42</f>
        <v>#DIV/0!</v>
      </c>
      <c r="F42" s="3" t="e">
        <f>C42</f>
        <v>#DIV/0!</v>
      </c>
      <c r="G42" s="3" t="e">
        <f>K45-F35+G35</f>
        <v>#DIV/0!</v>
      </c>
      <c r="H42" s="17" t="s">
        <v>31</v>
      </c>
      <c r="J42" t="s">
        <v>24</v>
      </c>
      <c r="K42" s="10" t="e">
        <f>IF('Thermal Oxidizer'!F38="Efficiency",((K37*(C49-G35)*C39)+(K38*(C49-G35)*C40))*C51,(K37*(C49-C50)*C39)+(K38*(C49-C50)*C40))</f>
        <v>#DIV/0!</v>
      </c>
      <c r="L42" t="s">
        <v>28</v>
      </c>
    </row>
    <row r="43" spans="2:12" ht="15.75">
      <c r="B43" t="s">
        <v>10</v>
      </c>
      <c r="C43" s="3" t="e">
        <f>((C38/C39)+C42)</f>
        <v>#DIV/0!</v>
      </c>
      <c r="D43" s="3" t="e">
        <f>((D38/D39)+D42)</f>
        <v>#DIV/0!</v>
      </c>
      <c r="E43" s="3" t="e">
        <f>((E38/E39)+E42)</f>
        <v>#DIV/0!</v>
      </c>
      <c r="F43" s="3" t="e">
        <f>((F38/F39)+F42)</f>
        <v>#DIV/0!</v>
      </c>
      <c r="G43" s="3" t="e">
        <f>((G38/G39)+G42)</f>
        <v>#DIV/0!</v>
      </c>
      <c r="H43" s="17" t="s">
        <v>31</v>
      </c>
      <c r="J43" t="s">
        <v>155</v>
      </c>
      <c r="K43" s="40" t="e">
        <f>ROUND(C43,0)</f>
        <v>#DIV/0!</v>
      </c>
      <c r="L43" t="s">
        <v>34</v>
      </c>
    </row>
    <row r="44" spans="2:8" ht="12.75">
      <c r="B44" t="s">
        <v>11</v>
      </c>
      <c r="C44" s="5" t="e">
        <f>MAX(0,((C49-C43)*(C37*C39))/100000/C41)</f>
        <v>#DIV/0!</v>
      </c>
      <c r="D44" s="5" t="e">
        <f>MAX(0,((D49-D43)*(D37*D39))/100000/D41)</f>
        <v>#DIV/0!</v>
      </c>
      <c r="E44" s="5" t="e">
        <f>MAX(0,((E49-E43)*(E37*E39))/100000/E41)</f>
        <v>#DIV/0!</v>
      </c>
      <c r="F44" s="5" t="e">
        <f>MAX(0,((F49-F43)*(F37*F39))/100000/F41)</f>
        <v>#DIV/0!</v>
      </c>
      <c r="G44" s="5" t="e">
        <f>MAX(0,((G49-G43)*(G37*G39))/100000/G41)</f>
        <v>#DIV/0!</v>
      </c>
      <c r="H44" s="18" t="s">
        <v>12</v>
      </c>
    </row>
    <row r="45" spans="2:12" ht="12.75">
      <c r="B45" t="s">
        <v>13</v>
      </c>
      <c r="C45" s="6">
        <f>'Thermal Oxidizer'!G29</f>
        <v>0</v>
      </c>
      <c r="D45" s="6">
        <f>'Thermal Oxidizer'!G30</f>
        <v>0</v>
      </c>
      <c r="E45" s="6">
        <f>'Thermal Oxidizer'!G31</f>
        <v>0</v>
      </c>
      <c r="F45" s="6">
        <f>'Thermal Oxidizer'!G32</f>
        <v>0</v>
      </c>
      <c r="G45" s="6">
        <f>'Thermal Oxidizer'!G33</f>
        <v>1</v>
      </c>
      <c r="H45" s="19"/>
      <c r="J45" t="s">
        <v>25</v>
      </c>
      <c r="K45" s="14" t="e">
        <f>(K42/(K37*C39)+C35)</f>
        <v>#DIV/0!</v>
      </c>
      <c r="L45" t="s">
        <v>34</v>
      </c>
    </row>
    <row r="46" spans="2:8" ht="12.75">
      <c r="B46" t="s">
        <v>15</v>
      </c>
      <c r="C46" s="3">
        <f>C31*C45</f>
        <v>0</v>
      </c>
      <c r="D46" s="3">
        <f>C31*D45</f>
        <v>0</v>
      </c>
      <c r="E46" s="3">
        <f>C31*E45</f>
        <v>0</v>
      </c>
      <c r="F46" s="3">
        <f>C31*F45</f>
        <v>0</v>
      </c>
      <c r="G46" s="3">
        <f>C31*G45</f>
        <v>8760</v>
      </c>
      <c r="H46" s="20">
        <f>$F$20*H45</f>
        <v>0</v>
      </c>
    </row>
    <row r="47" spans="10:11" ht="12.75">
      <c r="J47" t="s">
        <v>26</v>
      </c>
      <c r="K47" s="1" t="e">
        <f>(C44*C46)+(D44*D46)+(E44*E46)+(F44*F46)+G44*G46</f>
        <v>#DIV/0!</v>
      </c>
    </row>
    <row r="48" ht="12.75"/>
    <row r="49" spans="2:8" ht="15.75">
      <c r="B49" t="s">
        <v>9</v>
      </c>
      <c r="C49" s="2">
        <f>'Thermal Oxidizer'!E22</f>
        <v>0</v>
      </c>
      <c r="D49" s="2">
        <f>C49</f>
        <v>0</v>
      </c>
      <c r="E49" s="2">
        <f>C49</f>
        <v>0</v>
      </c>
      <c r="F49" s="2">
        <f>C49</f>
        <v>0</v>
      </c>
      <c r="G49" s="2">
        <f>D49</f>
        <v>0</v>
      </c>
      <c r="H49" s="17" t="s">
        <v>31</v>
      </c>
    </row>
    <row r="50" spans="2:8" ht="15.75">
      <c r="B50" t="s">
        <v>5</v>
      </c>
      <c r="C50" s="49" t="e">
        <f>IF('Thermal Oxidizer'!$F$38="Exhaust Temperature",'Thermal Oxidizer'!$F$82,C49-$K$42/($K$37*C39+$K$38*C40))</f>
        <v>#DIV/0!</v>
      </c>
      <c r="D50" s="49" t="e">
        <f>IF('Thermal Oxidizer'!$F$38="Exhaust Temperature",'Thermal Oxidizer'!$F$82,D49-$K$42/($K$37*D39+$K$38*D40))</f>
        <v>#DIV/0!</v>
      </c>
      <c r="E50" s="49" t="e">
        <f>IF('Thermal Oxidizer'!$F$38="Exhaust Temperature",'Thermal Oxidizer'!$F$82,E49-$K$42/($K$37*E39+$K$38*E40))</f>
        <v>#DIV/0!</v>
      </c>
      <c r="F50" s="49" t="e">
        <f>IF('Thermal Oxidizer'!$F$38="Exhaust Temperature",'Thermal Oxidizer'!$F$82,F49-$K$42/($K$37*F39+$K$38*F40))</f>
        <v>#DIV/0!</v>
      </c>
      <c r="G50" s="49" t="e">
        <f>IF('Thermal Oxidizer'!$F$38="Exhaust Temperature",'Thermal Oxidizer'!$F$82,G49-$K$42/($K$37*G39+$K$38*G40))</f>
        <v>#DIV/0!</v>
      </c>
      <c r="H50" s="17" t="s">
        <v>31</v>
      </c>
    </row>
    <row r="51" spans="2:8" ht="15.75">
      <c r="B51" t="s">
        <v>6</v>
      </c>
      <c r="C51" s="4">
        <f>IF('Thermal Oxidizer'!$F$38="Efficiency",'Thermal Oxidizer'!$F$82/100,$K$42/(($K$37*(C49-$G$9)*C39)+($K$38*(C49-$G$9)*C40)))</f>
        <v>0</v>
      </c>
      <c r="D51" s="4">
        <f>IF('Thermal Oxidizer'!$F$38="Efficiency",'Thermal Oxidizer'!$F$82/100,$K$42/(($K$37*(D49-$G$9)*D39)+($K$38*(D49-$G$9)*D40)))</f>
        <v>0</v>
      </c>
      <c r="E51" s="4">
        <f>IF('Thermal Oxidizer'!$F$38="Efficiency",'Thermal Oxidizer'!$F$82/100,$K$42/(($K$37*(E49-$G$9)*E39)+($K$38*(E49-$G$9)*E40)))</f>
        <v>0</v>
      </c>
      <c r="F51" s="4">
        <f>IF('Thermal Oxidizer'!$F$38="Efficiency",'Thermal Oxidizer'!$F$82/100,$K$42/(($K$37*(F49-$G$9)*F39)+($K$38*(F49-$G$9)*F40)))</f>
        <v>0</v>
      </c>
      <c r="G51" s="4">
        <f>IF('Thermal Oxidizer'!$F$38="Efficiency",'Thermal Oxidizer'!$F$82/100,$K$42/(($K$37*(G49-$G$9)*G39)+($K$38*(G49-$G$9)*G40)))</f>
        <v>0</v>
      </c>
      <c r="H51" s="18"/>
    </row>
    <row r="52" ht="13.5" thickBot="1">
      <c r="C52" s="1"/>
    </row>
    <row r="53" spans="2:10" ht="13.5" thickBot="1">
      <c r="B53" t="s">
        <v>14</v>
      </c>
      <c r="C53" s="7" t="e">
        <f>C44*C46</f>
        <v>#DIV/0!</v>
      </c>
      <c r="D53" s="7" t="e">
        <f>D44*D46</f>
        <v>#DIV/0!</v>
      </c>
      <c r="E53" s="7" t="e">
        <f>E44*E46</f>
        <v>#DIV/0!</v>
      </c>
      <c r="F53" s="7" t="e">
        <f>F44*F46</f>
        <v>#DIV/0!</v>
      </c>
      <c r="G53" s="7" t="e">
        <f>G44*G46</f>
        <v>#DIV/0!</v>
      </c>
      <c r="H53" s="15" t="e">
        <f>SUM(C53:G53)</f>
        <v>#DIV/0!</v>
      </c>
      <c r="J53" s="40" t="e">
        <f>H53</f>
        <v>#DIV/0!</v>
      </c>
    </row>
    <row r="54" ht="12.75"/>
    <row r="55" ht="12.75"/>
    <row r="56" ht="12.75"/>
  </sheetData>
  <printOptions/>
  <pageMargins left="0.75" right="0.75" top="1" bottom="1" header="0.5" footer="0.5"/>
  <pageSetup fitToHeight="0" fitToWidth="1" horizontalDpi="600" verticalDpi="600" orientation="landscape" scale="64"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Sempra Energy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Sempra</dc:creator>
  <cp:keywords/>
  <dc:description>v3.0.1</dc:description>
  <cp:lastModifiedBy>Rod Hite</cp:lastModifiedBy>
  <cp:lastPrinted>2006-11-14T15:45:42Z</cp:lastPrinted>
  <dcterms:created xsi:type="dcterms:W3CDTF">2006-02-01T01:06:25Z</dcterms:created>
  <dcterms:modified xsi:type="dcterms:W3CDTF">2007-01-10T23:11:17Z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