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25" windowWidth="19215" windowHeight="6075" activeTab="1"/>
  </bookViews>
  <sheets>
    <sheet name="Efficiency Calc's" sheetId="1" r:id="rId1"/>
    <sheet name="Scratch Sheet" sheetId="2" r:id="rId2"/>
  </sheets>
  <definedNames>
    <definedName name="_xlnm.Print_Area" localSheetId="0">'Efficiency Calc''s'!$A$1:$O$50</definedName>
  </definedNames>
  <calcPr fullCalcOnLoad="1"/>
</workbook>
</file>

<file path=xl/comments1.xml><?xml version="1.0" encoding="utf-8"?>
<comments xmlns="http://schemas.openxmlformats.org/spreadsheetml/2006/main">
  <authors>
    <author>Ronald K. Ishii</author>
  </authors>
  <commentList>
    <comment ref="D13" authorId="0">
      <text>
        <r>
          <rPr>
            <b/>
            <sz val="10"/>
            <rFont val="Tahoma"/>
            <family val="2"/>
          </rPr>
          <t>If the pull down menu is not working, reduce the Excel macro security to "medium".  For Excel 2003, this is found under the Tools/Options, Security tab, Macro Security button.  For other Excel versions, please refer to Help.</t>
        </r>
      </text>
    </comment>
    <comment ref="C17" authorId="0">
      <text>
        <r>
          <rPr>
            <sz val="10"/>
            <rFont val="Tahoma"/>
            <family val="2"/>
          </rPr>
          <t>Forecasted generator electric energy output.  Monthly values should be supported with engineering calculations of generator operation including system maximum and minimum rated loads, Host Customer Site load, Site operating schedule and accounting for scheduled as well as unscheduled maintenance.</t>
        </r>
      </text>
    </comment>
    <comment ref="H17" authorId="0">
      <text>
        <r>
          <rPr>
            <sz val="10"/>
            <rFont val="Tahoma"/>
            <family val="2"/>
          </rPr>
          <t>This is the thermal load on monthly basis.  The value provided should be supported by thermal load analysis.   May be calculated from equipment ratings and/or historical fuel bills.  Industrial or commercial process (net heat contained in condensate return or make-up water); heating application (e.g., space heating, domestic hot water heating); space cooling application (e.g., thermal energy used by an absorption chiller).</t>
        </r>
      </text>
    </comment>
    <comment ref="D14" authorId="0">
      <text>
        <r>
          <rPr>
            <b/>
            <sz val="10"/>
            <rFont val="Tahoma"/>
            <family val="2"/>
          </rPr>
          <t>If the check box is not working, reduce the Excel macro security to "medium".  For Excel 2003, this is found under the Tools/Options, Security tab, Macro Security button.  For other Excel versions, please refer to Help.</t>
        </r>
      </text>
    </comment>
    <comment ref="D15" authorId="0">
      <text>
        <r>
          <rPr>
            <b/>
            <sz val="10"/>
            <rFont val="Tahoma"/>
            <family val="2"/>
          </rPr>
          <t>If the check box is not working, reduce the Excel macro security to "medium".  For Excel 2003, this is found under the Tools/Options, Security tab, Macro Security button.  For other Excel versions, please refer to Help.</t>
        </r>
      </text>
    </comment>
  </commentList>
</comments>
</file>

<file path=xl/sharedStrings.xml><?xml version="1.0" encoding="utf-8"?>
<sst xmlns="http://schemas.openxmlformats.org/spreadsheetml/2006/main" count="94" uniqueCount="84">
  <si>
    <t>kW</t>
  </si>
  <si>
    <t>Btu/hr</t>
  </si>
  <si>
    <t>Jan</t>
  </si>
  <si>
    <t>Feb</t>
  </si>
  <si>
    <t>Mar</t>
  </si>
  <si>
    <t>Apr</t>
  </si>
  <si>
    <t>May</t>
  </si>
  <si>
    <t>Jun</t>
  </si>
  <si>
    <t>Jul</t>
  </si>
  <si>
    <t>Aug</t>
  </si>
  <si>
    <t>Sep</t>
  </si>
  <si>
    <t>Oct</t>
  </si>
  <si>
    <t>Nov</t>
  </si>
  <si>
    <t>Dec</t>
  </si>
  <si>
    <t>Std Hours Per Month (hrs)</t>
  </si>
  <si>
    <t>Generator Equivalent Full Load Hours per Month (hrs)</t>
  </si>
  <si>
    <t>Recovered Waste Heat per Month (Btu)</t>
  </si>
  <si>
    <t>Thermal Load per Month (Btu)</t>
  </si>
  <si>
    <t>Useful thermal energy output (Btu)</t>
  </si>
  <si>
    <t>Fuel Input (LHV Btu)</t>
  </si>
  <si>
    <t>AB 1685 Total Efficiency =</t>
  </si>
  <si>
    <t>lbs/MWh</t>
  </si>
  <si>
    <t>Capacity Factor</t>
  </si>
  <si>
    <t>Annual Total</t>
  </si>
  <si>
    <t>Generator Electric Output per Month (kWh)</t>
  </si>
  <si>
    <t>Instructions:</t>
  </si>
  <si>
    <t>Month</t>
  </si>
  <si>
    <t>Public Utilities Code 353.2 and 379.6</t>
  </si>
  <si>
    <t>Recoverable heat as specified by manufacturer of generator or waste heat recovery unit at full load conditions.  This is not total waste heat of the unit.  The value provided should be supported by Generating System specifications (if packaged unit), Waste Heat Recovery System specifications, or engineering analysis of recoverable waste heat.</t>
  </si>
  <si>
    <t>NOx Emissions w/o CHP Credits =</t>
  </si>
  <si>
    <t>NOx Emissions w/ CHP Credits =</t>
  </si>
  <si>
    <t>Applicant:</t>
  </si>
  <si>
    <t xml:space="preserve">Host Customer: </t>
  </si>
  <si>
    <t>Date:</t>
  </si>
  <si>
    <t>Application No.:</t>
  </si>
  <si>
    <r>
      <t>Provided by manufacturer or calculated from rated capacity and generator efficiency or heat rate specifications.  Based on</t>
    </r>
    <r>
      <rPr>
        <b/>
        <sz val="10"/>
        <rFont val="Arial"/>
        <family val="2"/>
      </rPr>
      <t xml:space="preserve"> lower heating value</t>
    </r>
    <r>
      <rPr>
        <sz val="10"/>
        <rFont val="Arial"/>
        <family val="2"/>
      </rPr>
      <t xml:space="preserve"> of fuel.</t>
    </r>
  </si>
  <si>
    <r>
      <t>Provided by manufacturer or calculated from rated capacity and generator efficiency or heat rate specifications.  Based on</t>
    </r>
    <r>
      <rPr>
        <b/>
        <sz val="10"/>
        <rFont val="Arial"/>
        <family val="2"/>
      </rPr>
      <t xml:space="preserve"> higher  heating value</t>
    </r>
    <r>
      <rPr>
        <sz val="10"/>
        <rFont val="Arial"/>
        <family val="2"/>
      </rPr>
      <t xml:space="preserve"> of fuel.</t>
    </r>
  </si>
  <si>
    <t>Rated Net Generating Capacity =</t>
  </si>
  <si>
    <t>Fuel Consumption Rate (LHV) =</t>
  </si>
  <si>
    <t>Fuel Consumption Rate (HHV) =</t>
  </si>
  <si>
    <t>Waste Heat Recovery Rate =</t>
  </si>
  <si>
    <t>Generator Emissions =</t>
  </si>
  <si>
    <t>Ancillary Generating System Loads =</t>
  </si>
  <si>
    <t>Full load net continuous rated capacity of the packaged prime mover/generator at ISO conditions.</t>
  </si>
  <si>
    <t>≥ 60%</t>
  </si>
  <si>
    <t>≥ 5%</t>
  </si>
  <si>
    <t>≥ 42.5%</t>
  </si>
  <si>
    <t>Any ancillary equipment loads necessary for the operation of the generator (e.g., fuel compressors, intercooler chillers, etc.) not accounted for in the Rated Net Generating Capacity.</t>
  </si>
  <si>
    <t>NOx emissions specifications for the proposed generating system as configured, including emissions controls, for the Host Customer Site at rated conditions.  The value provided should be supported by factory testing, other installation source tests or engineering calculations.</t>
  </si>
  <si>
    <t>Fuel Type =</t>
  </si>
  <si>
    <t>Non-Renewable fuels are any fossil based fuels such as natural gas.  Renewable fuels include landfill and digester gas.  Waste gas are fuels strictly defined as natural gas that is generated as a byproduct of petroleum production operations and is not eligible for delivery to the utility pipeline system.</t>
  </si>
  <si>
    <t>Minimum Operating Efficiency Eligibility =</t>
  </si>
  <si>
    <t>P.U. Code 216.6 (a) =</t>
  </si>
  <si>
    <t>Public Utilities Code 216.6(a) &amp; 18CFR Part 292</t>
  </si>
  <si>
    <t>P.U. Code 216.6 (b) =</t>
  </si>
  <si>
    <t>Public Utilities Code 216.6(b) &amp; 18CFR Part 292</t>
  </si>
  <si>
    <t>Minimum Electric Efficiency =</t>
  </si>
  <si>
    <t>≥ 40%</t>
  </si>
  <si>
    <t>≤ 0.07 lb/MWh</t>
  </si>
  <si>
    <t>Public Utilities Code 379.6 and Calif. ARB, Guidance for the Permitting of Electric Generation Technologies, Appendix D: Quantifying CHP Benefits, July 2002.</t>
  </si>
  <si>
    <t>Facility Electrical Load (kWh)</t>
  </si>
  <si>
    <t>Fuel Input (HHV Btu)</t>
  </si>
  <si>
    <t>Gross GHG Generated (kg CO2)</t>
  </si>
  <si>
    <t>GHG Savings from Heat Recovery (kg CO2)</t>
  </si>
  <si>
    <t>Net GHG Emissions (kg CO2)</t>
  </si>
  <si>
    <t>NOx Emissions Eligibility =</t>
  </si>
  <si>
    <t>GHG Emissions Eligibility =</t>
  </si>
  <si>
    <t>GHG Emissions (kg CO2/MWh) =</t>
  </si>
  <si>
    <t>&lt; 379</t>
  </si>
  <si>
    <t>CPUC Decision 11-09-015</t>
  </si>
  <si>
    <t>Thermal Load Coincidence Factor</t>
  </si>
  <si>
    <t>Max Thermal Load Coincidence Factor=</t>
  </si>
  <si>
    <t>≤ 1.0</t>
  </si>
  <si>
    <t xml:space="preserve">Non-Renewable </t>
  </si>
  <si>
    <t>Renewable</t>
  </si>
  <si>
    <t>Waste Gas</t>
  </si>
  <si>
    <t>Fuel Cell ?</t>
  </si>
  <si>
    <t>Is the proposed generator a fuel cell?</t>
  </si>
  <si>
    <t>Feed-in Tariff Qualified?</t>
  </si>
  <si>
    <t>Is the proposed generator qualified for the Feed-in Tariff?</t>
  </si>
  <si>
    <t>Coincidence of Thermal Load =</t>
  </si>
  <si>
    <t>Electrical Export Factor=</t>
  </si>
  <si>
    <t>Electrical Export Eligible =</t>
  </si>
  <si>
    <t>This spreadsheet calculates the operating system efficiency, system efficiency and emissions eligibility of generation systems applying to the Self-Generating Incentive Program for incentives.  Applicants must provide documentation supporting all inputs including but not limited to system capacity, fuel consumption, waste heat recovery rate, baseline emissions, operating schedule, equivalent full load operating hours and thermal load.  See the 2011 SGIP Handbook for details of eligibility and documentation requirements.  All yellow cells must be completed by Applicant/Host Customer.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</si>
</sst>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mmmm\ d\,\ yyyy;@"/>
    <numFmt numFmtId="167" formatCode=";;;"/>
  </numFmts>
  <fonts count="46">
    <font>
      <sz val="10"/>
      <name val="Arial"/>
      <family val="0"/>
    </font>
    <font>
      <sz val="11"/>
      <color indexed="8"/>
      <name val="Calibri"/>
      <family val="2"/>
    </font>
    <font>
      <sz val="11"/>
      <name val="Arial"/>
      <family val="2"/>
    </font>
    <font>
      <sz val="8"/>
      <name val="Arial"/>
      <family val="2"/>
    </font>
    <font>
      <b/>
      <sz val="10"/>
      <name val="Arial"/>
      <family val="2"/>
    </font>
    <font>
      <sz val="10"/>
      <name val="Tahoma"/>
      <family val="2"/>
    </font>
    <font>
      <b/>
      <sz val="9"/>
      <name val="Arial"/>
      <family val="2"/>
    </font>
    <font>
      <sz val="9"/>
      <name val="Arial"/>
      <family val="2"/>
    </font>
    <font>
      <b/>
      <sz val="11"/>
      <name val="Arial"/>
      <family val="2"/>
    </font>
    <font>
      <sz val="8"/>
      <color indexed="10"/>
      <name val="Arial"/>
      <family val="2"/>
    </font>
    <font>
      <b/>
      <sz val="10"/>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bottom style="medium"/>
    </border>
    <border>
      <left style="thin"/>
      <right style="thin"/>
      <top/>
      <bottom style="medium"/>
    </border>
    <border>
      <left style="medium"/>
      <right style="medium"/>
      <top style="thin"/>
      <bottom style="thin"/>
    </border>
    <border>
      <left style="medium"/>
      <right style="medium"/>
      <top style="thin"/>
      <bottom style="medium"/>
    </border>
    <border>
      <left style="medium"/>
      <right style="medium"/>
      <top/>
      <bottom style="medium"/>
    </border>
    <border>
      <left style="thin"/>
      <right/>
      <top style="thin"/>
      <bottom style="thin"/>
    </border>
    <border>
      <left/>
      <right style="thin"/>
      <top style="thin"/>
      <bottom style="thin"/>
    </border>
    <border>
      <left style="medium"/>
      <right/>
      <top style="medium"/>
      <bottom style="medium"/>
    </border>
    <border>
      <left style="medium"/>
      <right style="medium"/>
      <top/>
      <bottom style="thin"/>
    </border>
    <border>
      <left style="medium"/>
      <right style="thin"/>
      <top/>
      <bottom style="thin"/>
    </border>
    <border>
      <left style="thin"/>
      <right style="thin"/>
      <top/>
      <bottom style="thin"/>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4">
    <xf numFmtId="0" fontId="0" fillId="0" borderId="0" xfId="0" applyAlignment="1">
      <alignment/>
    </xf>
    <xf numFmtId="0" fontId="2" fillId="0" borderId="0" xfId="0" applyFont="1" applyAlignment="1" applyProtection="1">
      <alignment vertical="center"/>
      <protection/>
    </xf>
    <xf numFmtId="0" fontId="0" fillId="0" borderId="0" xfId="0" applyAlignment="1" applyProtection="1">
      <alignment/>
      <protection/>
    </xf>
    <xf numFmtId="0" fontId="0" fillId="0" borderId="0" xfId="0" applyAlignment="1" applyProtection="1">
      <alignment horizontal="left"/>
      <protection/>
    </xf>
    <xf numFmtId="3" fontId="2" fillId="0" borderId="0" xfId="0" applyNumberFormat="1" applyFont="1" applyBorder="1" applyAlignment="1" applyProtection="1">
      <alignment vertical="center" wrapText="1"/>
      <protection/>
    </xf>
    <xf numFmtId="0" fontId="0" fillId="0" borderId="10" xfId="0" applyFill="1" applyBorder="1" applyAlignment="1" applyProtection="1">
      <alignment horizontal="center" wrapText="1"/>
      <protection/>
    </xf>
    <xf numFmtId="0" fontId="0" fillId="0" borderId="10" xfId="0" applyBorder="1" applyAlignment="1" applyProtection="1">
      <alignment horizontal="center" wrapText="1"/>
      <protection/>
    </xf>
    <xf numFmtId="3" fontId="0" fillId="0" borderId="11" xfId="0" applyNumberFormat="1" applyFill="1" applyBorder="1" applyAlignment="1" applyProtection="1">
      <alignment horizontal="right"/>
      <protection/>
    </xf>
    <xf numFmtId="3" fontId="0" fillId="0" borderId="12" xfId="0" applyNumberFormat="1" applyFill="1" applyBorder="1" applyAlignment="1" applyProtection="1">
      <alignment horizontal="right"/>
      <protection/>
    </xf>
    <xf numFmtId="3" fontId="0" fillId="0" borderId="0" xfId="0" applyNumberFormat="1" applyAlignment="1" applyProtection="1">
      <alignment/>
      <protection/>
    </xf>
    <xf numFmtId="3" fontId="0" fillId="0" borderId="0" xfId="0" applyNumberFormat="1" applyAlignment="1" applyProtection="1">
      <alignment horizontal="left"/>
      <protection/>
    </xf>
    <xf numFmtId="0" fontId="0" fillId="0" borderId="0" xfId="0" applyAlignment="1" applyProtection="1">
      <alignment horizontal="right" wrapText="1"/>
      <protection/>
    </xf>
    <xf numFmtId="0" fontId="0" fillId="0" borderId="0" xfId="0" applyAlignment="1" applyProtection="1">
      <alignment horizontal="right"/>
      <protection/>
    </xf>
    <xf numFmtId="9" fontId="0" fillId="0" borderId="11" xfId="57" applyFont="1" applyFill="1" applyBorder="1" applyAlignment="1" applyProtection="1">
      <alignment horizontal="center"/>
      <protection/>
    </xf>
    <xf numFmtId="9" fontId="0" fillId="0" borderId="12" xfId="57" applyFont="1" applyFill="1" applyBorder="1" applyAlignment="1" applyProtection="1">
      <alignment horizontal="center"/>
      <protection/>
    </xf>
    <xf numFmtId="3" fontId="0" fillId="33" borderId="11" xfId="0" applyNumberFormat="1" applyFill="1" applyBorder="1" applyAlignment="1" applyProtection="1">
      <alignment horizontal="center"/>
      <protection locked="0"/>
    </xf>
    <xf numFmtId="3" fontId="0" fillId="33" borderId="12" xfId="0" applyNumberFormat="1" applyFill="1" applyBorder="1" applyAlignment="1" applyProtection="1">
      <alignment horizontal="center"/>
      <protection locked="0"/>
    </xf>
    <xf numFmtId="3" fontId="0" fillId="0" borderId="13" xfId="0" applyNumberFormat="1" applyBorder="1" applyAlignment="1" applyProtection="1">
      <alignment horizontal="center"/>
      <protection/>
    </xf>
    <xf numFmtId="3" fontId="0" fillId="0" borderId="14" xfId="0" applyNumberFormat="1" applyBorder="1" applyAlignment="1" applyProtection="1">
      <alignment horizontal="center"/>
      <protection/>
    </xf>
    <xf numFmtId="3" fontId="0" fillId="0" borderId="15" xfId="0" applyNumberFormat="1" applyBorder="1" applyAlignment="1" applyProtection="1">
      <alignment horizontal="center"/>
      <protection/>
    </xf>
    <xf numFmtId="3" fontId="0" fillId="0" borderId="16" xfId="0" applyNumberFormat="1" applyFill="1" applyBorder="1" applyAlignment="1" applyProtection="1">
      <alignment horizontal="center"/>
      <protection/>
    </xf>
    <xf numFmtId="9" fontId="0" fillId="0" borderId="16" xfId="57" applyFont="1" applyFill="1" applyBorder="1" applyAlignment="1" applyProtection="1">
      <alignment horizontal="center"/>
      <protection/>
    </xf>
    <xf numFmtId="3" fontId="0" fillId="0" borderId="16" xfId="0" applyNumberFormat="1" applyFill="1" applyBorder="1" applyAlignment="1" applyProtection="1">
      <alignment horizontal="right"/>
      <protection/>
    </xf>
    <xf numFmtId="3" fontId="0" fillId="0" borderId="16" xfId="0" applyNumberFormat="1" applyBorder="1" applyAlignment="1" applyProtection="1">
      <alignment horizontal="right"/>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165" fontId="2" fillId="0" borderId="0" xfId="57" applyNumberFormat="1" applyFont="1" applyAlignment="1" applyProtection="1">
      <alignment horizontal="right"/>
      <protection/>
    </xf>
    <xf numFmtId="3" fontId="2" fillId="0" borderId="0" xfId="0" applyNumberFormat="1" applyFont="1" applyAlignment="1" applyProtection="1" quotePrefix="1">
      <alignment horizontal="left"/>
      <protection/>
    </xf>
    <xf numFmtId="0" fontId="2" fillId="0" borderId="0" xfId="0" applyFont="1" applyAlignment="1" applyProtection="1">
      <alignment horizontal="center"/>
      <protection/>
    </xf>
    <xf numFmtId="0" fontId="2" fillId="0" borderId="0" xfId="0" applyFont="1" applyAlignment="1">
      <alignment horizontal="right"/>
    </xf>
    <xf numFmtId="0" fontId="0" fillId="0" borderId="0" xfId="0" applyFont="1" applyAlignment="1">
      <alignment/>
    </xf>
    <xf numFmtId="3" fontId="0" fillId="33" borderId="20" xfId="0" applyNumberFormat="1" applyFont="1" applyFill="1" applyBorder="1" applyAlignment="1" applyProtection="1">
      <alignment vertical="center" wrapText="1"/>
      <protection locked="0"/>
    </xf>
    <xf numFmtId="0" fontId="0" fillId="0" borderId="21" xfId="0" applyFont="1" applyBorder="1" applyAlignment="1" applyProtection="1">
      <alignment vertic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3" fontId="0" fillId="0" borderId="24" xfId="0" applyNumberFormat="1" applyBorder="1" applyAlignment="1" applyProtection="1">
      <alignment horizontal="center"/>
      <protection/>
    </xf>
    <xf numFmtId="3" fontId="0" fillId="33" borderId="25" xfId="0" applyNumberFormat="1" applyFill="1" applyBorder="1" applyAlignment="1" applyProtection="1">
      <alignment horizontal="center"/>
      <protection locked="0"/>
    </xf>
    <xf numFmtId="9" fontId="0" fillId="0" borderId="25" xfId="57" applyFont="1" applyFill="1" applyBorder="1" applyAlignment="1" applyProtection="1">
      <alignment horizontal="center"/>
      <protection/>
    </xf>
    <xf numFmtId="3" fontId="0" fillId="0" borderId="25" xfId="0" applyNumberFormat="1" applyFill="1" applyBorder="1" applyAlignment="1" applyProtection="1">
      <alignment horizontal="right"/>
      <protection/>
    </xf>
    <xf numFmtId="3" fontId="0" fillId="33" borderId="25" xfId="0" applyNumberFormat="1" applyFill="1" applyBorder="1" applyAlignment="1" applyProtection="1">
      <alignment horizontal="right"/>
      <protection locked="0"/>
    </xf>
    <xf numFmtId="0" fontId="8" fillId="34" borderId="0" xfId="0" applyFont="1" applyFill="1" applyAlignment="1" applyProtection="1">
      <alignment/>
      <protection/>
    </xf>
    <xf numFmtId="0" fontId="9" fillId="34" borderId="0" xfId="0" applyFont="1" applyFill="1" applyAlignment="1" applyProtection="1">
      <alignment horizontal="left"/>
      <protection/>
    </xf>
    <xf numFmtId="3" fontId="0" fillId="34" borderId="0" xfId="0" applyNumberFormat="1" applyFill="1" applyAlignment="1" applyProtection="1">
      <alignment horizontal="left"/>
      <protection/>
    </xf>
    <xf numFmtId="0" fontId="0" fillId="34" borderId="0" xfId="0" applyFill="1" applyAlignment="1" applyProtection="1">
      <alignment/>
      <protection/>
    </xf>
    <xf numFmtId="165" fontId="2" fillId="34" borderId="0" xfId="57" applyNumberFormat="1" applyFont="1" applyFill="1" applyAlignment="1" applyProtection="1">
      <alignment horizontal="right"/>
      <protection/>
    </xf>
    <xf numFmtId="3" fontId="2" fillId="34" borderId="0" xfId="0" applyNumberFormat="1" applyFont="1" applyFill="1" applyAlignment="1" applyProtection="1" quotePrefix="1">
      <alignment horizontal="left"/>
      <protection/>
    </xf>
    <xf numFmtId="0" fontId="2" fillId="34" borderId="0" xfId="0" applyFont="1" applyFill="1" applyAlignment="1" applyProtection="1">
      <alignment horizontal="center"/>
      <protection/>
    </xf>
    <xf numFmtId="0" fontId="0" fillId="34" borderId="0" xfId="0" applyFill="1" applyAlignment="1" applyProtection="1">
      <alignment horizontal="left"/>
      <protection/>
    </xf>
    <xf numFmtId="164" fontId="2" fillId="34" borderId="0" xfId="0" applyNumberFormat="1" applyFont="1" applyFill="1" applyAlignment="1" applyProtection="1">
      <alignment horizontal="right"/>
      <protection/>
    </xf>
    <xf numFmtId="3" fontId="0" fillId="34" borderId="0" xfId="0" applyNumberFormat="1" applyFill="1" applyAlignment="1" applyProtection="1" quotePrefix="1">
      <alignment horizontal="left"/>
      <protection/>
    </xf>
    <xf numFmtId="0" fontId="0" fillId="34" borderId="0" xfId="0" applyFill="1" applyAlignment="1" applyProtection="1">
      <alignment vertical="top" wrapText="1"/>
      <protection/>
    </xf>
    <xf numFmtId="0" fontId="0" fillId="34" borderId="0" xfId="0" applyFill="1" applyAlignment="1">
      <alignment/>
    </xf>
    <xf numFmtId="0" fontId="7" fillId="34" borderId="0" xfId="0" applyFont="1" applyFill="1" applyAlignment="1" applyProtection="1">
      <alignment horizontal="left" vertical="top" wrapText="1"/>
      <protection/>
    </xf>
    <xf numFmtId="3" fontId="0" fillId="0" borderId="25" xfId="0" applyNumberFormat="1" applyBorder="1" applyAlignment="1" applyProtection="1">
      <alignment horizontal="right"/>
      <protection/>
    </xf>
    <xf numFmtId="3" fontId="0" fillId="0" borderId="11" xfId="0" applyNumberFormat="1" applyBorder="1" applyAlignment="1" applyProtection="1">
      <alignment horizontal="right"/>
      <protection/>
    </xf>
    <xf numFmtId="3" fontId="0" fillId="0" borderId="12" xfId="0" applyNumberFormat="1" applyBorder="1" applyAlignment="1" applyProtection="1">
      <alignment horizontal="right"/>
      <protection/>
    </xf>
    <xf numFmtId="1" fontId="2" fillId="34" borderId="0" xfId="57" applyNumberFormat="1" applyFont="1" applyFill="1" applyAlignment="1" applyProtection="1">
      <alignment horizontal="right"/>
      <protection/>
    </xf>
    <xf numFmtId="3" fontId="2" fillId="34" borderId="0" xfId="0" applyNumberFormat="1" applyFont="1" applyFill="1" applyAlignment="1" applyProtection="1" quotePrefix="1">
      <alignment horizontal="left"/>
      <protection/>
    </xf>
    <xf numFmtId="0" fontId="0" fillId="34" borderId="0" xfId="0" applyFont="1" applyFill="1" applyAlignment="1" applyProtection="1">
      <alignment horizontal="left"/>
      <protection/>
    </xf>
    <xf numFmtId="3" fontId="0" fillId="34" borderId="0" xfId="0" applyNumberFormat="1" applyFont="1" applyFill="1" applyAlignment="1" applyProtection="1" quotePrefix="1">
      <alignment horizontal="left"/>
      <protection/>
    </xf>
    <xf numFmtId="0" fontId="0" fillId="0" borderId="10" xfId="0" applyFont="1" applyFill="1" applyBorder="1" applyAlignment="1" applyProtection="1">
      <alignment horizontal="center" wrapText="1"/>
      <protection/>
    </xf>
    <xf numFmtId="4" fontId="0" fillId="0" borderId="25" xfId="0" applyNumberFormat="1" applyFill="1" applyBorder="1" applyAlignment="1" applyProtection="1">
      <alignment horizontal="center"/>
      <protection/>
    </xf>
    <xf numFmtId="4" fontId="0" fillId="0" borderId="11" xfId="0" applyNumberFormat="1" applyFill="1" applyBorder="1" applyAlignment="1" applyProtection="1">
      <alignment horizontal="center"/>
      <protection/>
    </xf>
    <xf numFmtId="4" fontId="0" fillId="0" borderId="12" xfId="0" applyNumberFormat="1" applyFill="1" applyBorder="1" applyAlignment="1" applyProtection="1">
      <alignment horizontal="center"/>
      <protection/>
    </xf>
    <xf numFmtId="4" fontId="2" fillId="34" borderId="0" xfId="0" applyNumberFormat="1" applyFont="1" applyFill="1" applyAlignment="1" applyProtection="1">
      <alignment horizontal="right"/>
      <protection/>
    </xf>
    <xf numFmtId="164" fontId="0" fillId="33" borderId="20" xfId="0" applyNumberFormat="1" applyFont="1" applyFill="1" applyBorder="1" applyAlignment="1" applyProtection="1">
      <alignment vertical="center" wrapText="1"/>
      <protection locked="0"/>
    </xf>
    <xf numFmtId="167" fontId="0" fillId="0" borderId="0" xfId="0" applyNumberFormat="1" applyAlignment="1">
      <alignment/>
    </xf>
    <xf numFmtId="167" fontId="0" fillId="0" borderId="0" xfId="0" applyNumberFormat="1" applyAlignment="1" applyProtection="1">
      <alignment/>
      <protection locked="0"/>
    </xf>
    <xf numFmtId="4" fontId="0" fillId="0" borderId="16" xfId="0" applyNumberFormat="1" applyFill="1" applyBorder="1" applyAlignment="1" applyProtection="1">
      <alignment horizontal="center"/>
      <protection/>
    </xf>
    <xf numFmtId="3" fontId="3" fillId="33" borderId="20" xfId="0" applyNumberFormat="1" applyFont="1" applyFill="1" applyBorder="1" applyAlignment="1" applyProtection="1">
      <alignment horizontal="center" vertical="center" wrapText="1"/>
      <protection locked="0"/>
    </xf>
    <xf numFmtId="3" fontId="3" fillId="33" borderId="21" xfId="0" applyNumberFormat="1" applyFont="1" applyFill="1" applyBorder="1" applyAlignment="1" applyProtection="1">
      <alignment horizontal="center" vertical="center" wrapText="1"/>
      <protection locked="0"/>
    </xf>
    <xf numFmtId="0" fontId="0" fillId="34" borderId="0" xfId="0" applyFill="1" applyAlignment="1" applyProtection="1">
      <alignment horizontal="right" wrapText="1"/>
      <protection/>
    </xf>
    <xf numFmtId="0" fontId="2" fillId="0" borderId="0" xfId="0" applyFont="1" applyAlignment="1" applyProtection="1">
      <alignment horizontal="left" vertical="center" wrapText="1"/>
      <protection/>
    </xf>
    <xf numFmtId="0" fontId="8" fillId="34" borderId="0" xfId="0" applyFont="1" applyFill="1" applyBorder="1" applyAlignment="1" applyProtection="1">
      <alignment horizontal="right"/>
      <protection/>
    </xf>
    <xf numFmtId="0" fontId="0" fillId="0" borderId="11" xfId="0" applyFont="1" applyBorder="1" applyAlignment="1" applyProtection="1">
      <alignment horizontal="right" vertical="center" wrapText="1"/>
      <protection/>
    </xf>
    <xf numFmtId="0" fontId="0" fillId="0" borderId="20" xfId="0" applyFont="1" applyBorder="1" applyAlignment="1" applyProtection="1">
      <alignment horizontal="right" vertical="center" wrapText="1"/>
      <protection/>
    </xf>
    <xf numFmtId="0" fontId="0" fillId="0" borderId="11" xfId="0" applyFont="1" applyBorder="1" applyAlignment="1" applyProtection="1">
      <alignment horizontal="left" vertical="center" wrapText="1"/>
      <protection/>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2" fillId="0" borderId="0" xfId="0" applyFont="1" applyAlignment="1" applyProtection="1">
      <alignment horizontal="right" vertical="center" wrapText="1"/>
      <protection/>
    </xf>
    <xf numFmtId="0" fontId="0" fillId="34" borderId="0" xfId="0" applyFont="1" applyFill="1" applyAlignment="1" applyProtection="1">
      <alignment horizontal="right" wrapText="1"/>
      <protection/>
    </xf>
    <xf numFmtId="0" fontId="7" fillId="34" borderId="0" xfId="0" applyFont="1" applyFill="1" applyAlignment="1" applyProtection="1">
      <alignment horizontal="left" vertical="top" wrapText="1"/>
      <protection/>
    </xf>
    <xf numFmtId="0" fontId="6" fillId="0" borderId="0" xfId="0" applyFont="1" applyAlignment="1" applyProtection="1">
      <alignment horizontal="left" vertical="top" wrapText="1"/>
      <protection/>
    </xf>
    <xf numFmtId="0" fontId="0" fillId="0" borderId="0" xfId="0" applyFont="1" applyAlignment="1" applyProtection="1">
      <alignment horizontal="left" wrapText="1"/>
      <protection/>
    </xf>
    <xf numFmtId="0" fontId="2" fillId="33" borderId="26" xfId="0" applyFont="1" applyFill="1" applyBorder="1" applyAlignment="1" applyProtection="1">
      <alignment horizontal="center"/>
      <protection locked="0"/>
    </xf>
    <xf numFmtId="0" fontId="2" fillId="33" borderId="26" xfId="0" applyFont="1" applyFill="1" applyBorder="1" applyAlignment="1" applyProtection="1">
      <alignment horizontal="center"/>
      <protection locked="0"/>
    </xf>
    <xf numFmtId="0" fontId="0" fillId="0" borderId="27" xfId="0" applyFont="1" applyBorder="1" applyAlignment="1" applyProtection="1">
      <alignment horizontal="right" vertical="center" wrapText="1"/>
      <protection/>
    </xf>
    <xf numFmtId="0" fontId="0" fillId="0" borderId="21" xfId="0" applyFont="1" applyBorder="1" applyAlignment="1" applyProtection="1">
      <alignment horizontal="right" vertical="center" wrapText="1"/>
      <protection/>
    </xf>
    <xf numFmtId="166" fontId="0" fillId="33" borderId="26" xfId="0" applyNumberFormat="1" applyFill="1" applyBorder="1" applyAlignment="1" applyProtection="1">
      <alignment horizontal="center"/>
      <protection locked="0"/>
    </xf>
    <xf numFmtId="0" fontId="2" fillId="33" borderId="27" xfId="0" applyFont="1" applyFill="1" applyBorder="1" applyAlignment="1" applyProtection="1">
      <alignment horizontal="center"/>
      <protection locked="0"/>
    </xf>
    <xf numFmtId="0" fontId="2" fillId="33" borderId="27" xfId="0" applyFont="1" applyFill="1" applyBorder="1" applyAlignment="1" applyProtection="1">
      <alignment horizontal="center"/>
      <protection locked="0"/>
    </xf>
    <xf numFmtId="0" fontId="0" fillId="33" borderId="27" xfId="0" applyFont="1" applyFill="1" applyBorder="1" applyAlignment="1" applyProtection="1">
      <alignment horizontal="center"/>
      <protection locked="0"/>
    </xf>
    <xf numFmtId="0" fontId="0" fillId="33" borderId="27"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0"/>
  <sheetViews>
    <sheetView view="pageBreakPreview" zoomScale="60" workbookViewId="0" topLeftCell="A21">
      <selection activeCell="C1" sqref="C1:E2"/>
    </sheetView>
  </sheetViews>
  <sheetFormatPr defaultColWidth="9.140625" defaultRowHeight="12.75"/>
  <cols>
    <col min="1" max="1" width="16.140625" style="0" customWidth="1"/>
    <col min="2" max="2" width="19.421875" style="0" customWidth="1"/>
    <col min="3" max="3" width="14.28125" style="0" bestFit="1" customWidth="1"/>
    <col min="4" max="4" width="16.8515625" style="0" customWidth="1"/>
    <col min="5" max="5" width="13.421875" style="0" customWidth="1"/>
    <col min="6" max="6" width="13.8515625" style="0" bestFit="1" customWidth="1"/>
    <col min="7" max="7" width="15.7109375" style="0" customWidth="1"/>
    <col min="8" max="8" width="15.00390625" style="0" customWidth="1"/>
    <col min="9" max="9" width="13.8515625" style="0" bestFit="1" customWidth="1"/>
    <col min="10" max="10" width="15.28125" style="0" bestFit="1" customWidth="1"/>
    <col min="11" max="11" width="15.8515625" style="0" customWidth="1"/>
    <col min="12" max="12" width="16.28125" style="0" customWidth="1"/>
    <col min="13" max="13" width="14.00390625" style="0" customWidth="1"/>
    <col min="14" max="14" width="10.57421875" style="0" customWidth="1"/>
  </cols>
  <sheetData>
    <row r="1" spans="2:9" ht="24" customHeight="1">
      <c r="B1" s="30" t="s">
        <v>31</v>
      </c>
      <c r="C1" s="85"/>
      <c r="D1" s="86"/>
      <c r="E1" s="86"/>
      <c r="G1" s="30" t="s">
        <v>33</v>
      </c>
      <c r="H1" s="89"/>
      <c r="I1" s="89"/>
    </row>
    <row r="2" spans="2:9" ht="24" customHeight="1">
      <c r="B2" s="30" t="s">
        <v>32</v>
      </c>
      <c r="C2" s="90"/>
      <c r="D2" s="91"/>
      <c r="E2" s="91"/>
      <c r="G2" s="30" t="s">
        <v>34</v>
      </c>
      <c r="H2" s="92"/>
      <c r="I2" s="93"/>
    </row>
    <row r="3" spans="1:15" ht="10.5" customHeight="1">
      <c r="A3" s="2" t="s">
        <v>25</v>
      </c>
      <c r="B3" s="84" t="s">
        <v>83</v>
      </c>
      <c r="C3" s="84"/>
      <c r="D3" s="84"/>
      <c r="E3" s="84"/>
      <c r="F3" s="84"/>
      <c r="G3" s="84"/>
      <c r="H3" s="84"/>
      <c r="I3" s="84"/>
      <c r="J3" s="84"/>
      <c r="K3" s="84"/>
      <c r="L3" s="84"/>
      <c r="M3" s="84"/>
      <c r="N3" s="84"/>
      <c r="O3" s="84"/>
    </row>
    <row r="4" spans="1:15" ht="7.5" customHeight="1">
      <c r="A4" s="2"/>
      <c r="B4" s="84"/>
      <c r="C4" s="84"/>
      <c r="D4" s="84"/>
      <c r="E4" s="84"/>
      <c r="F4" s="84"/>
      <c r="G4" s="84"/>
      <c r="H4" s="84"/>
      <c r="I4" s="84"/>
      <c r="J4" s="84"/>
      <c r="K4" s="84"/>
      <c r="L4" s="84"/>
      <c r="M4" s="84"/>
      <c r="N4" s="84"/>
      <c r="O4" s="84"/>
    </row>
    <row r="5" spans="1:15" ht="24" customHeight="1">
      <c r="A5" s="2"/>
      <c r="B5" s="84"/>
      <c r="C5" s="84"/>
      <c r="D5" s="84"/>
      <c r="E5" s="84"/>
      <c r="F5" s="84"/>
      <c r="G5" s="84"/>
      <c r="H5" s="84"/>
      <c r="I5" s="84"/>
      <c r="J5" s="84"/>
      <c r="K5" s="84"/>
      <c r="L5" s="84"/>
      <c r="M5" s="84"/>
      <c r="N5" s="84"/>
      <c r="O5" s="84"/>
    </row>
    <row r="6" spans="1:10" ht="12.75">
      <c r="A6" s="3"/>
      <c r="B6" s="3"/>
      <c r="C6" s="2"/>
      <c r="D6" s="2"/>
      <c r="E6" s="3"/>
      <c r="F6" s="3"/>
      <c r="G6" s="3"/>
      <c r="H6" s="2"/>
      <c r="I6" s="2"/>
      <c r="J6" s="2"/>
    </row>
    <row r="7" spans="1:15" s="31" customFormat="1" ht="22.5" customHeight="1">
      <c r="A7" s="75" t="s">
        <v>37</v>
      </c>
      <c r="B7" s="75"/>
      <c r="C7" s="76"/>
      <c r="D7" s="32"/>
      <c r="E7" s="33" t="s">
        <v>0</v>
      </c>
      <c r="F7" s="77" t="s">
        <v>43</v>
      </c>
      <c r="G7" s="77"/>
      <c r="H7" s="77"/>
      <c r="I7" s="77"/>
      <c r="J7" s="77"/>
      <c r="K7" s="77"/>
      <c r="L7" s="77"/>
      <c r="M7" s="77"/>
      <c r="N7" s="77"/>
      <c r="O7" s="77"/>
    </row>
    <row r="8" spans="1:15" s="31" customFormat="1" ht="24.75" customHeight="1">
      <c r="A8" s="75" t="s">
        <v>42</v>
      </c>
      <c r="B8" s="75"/>
      <c r="C8" s="76"/>
      <c r="D8" s="32"/>
      <c r="E8" s="33" t="s">
        <v>0</v>
      </c>
      <c r="F8" s="77" t="s">
        <v>47</v>
      </c>
      <c r="G8" s="77"/>
      <c r="H8" s="77"/>
      <c r="I8" s="77"/>
      <c r="J8" s="77"/>
      <c r="K8" s="77"/>
      <c r="L8" s="77"/>
      <c r="M8" s="77"/>
      <c r="N8" s="77"/>
      <c r="O8" s="77"/>
    </row>
    <row r="9" spans="1:15" s="31" customFormat="1" ht="27" customHeight="1">
      <c r="A9" s="75" t="s">
        <v>38</v>
      </c>
      <c r="B9" s="75"/>
      <c r="C9" s="76"/>
      <c r="D9" s="32"/>
      <c r="E9" s="33" t="s">
        <v>1</v>
      </c>
      <c r="F9" s="77" t="s">
        <v>35</v>
      </c>
      <c r="G9" s="77"/>
      <c r="H9" s="77"/>
      <c r="I9" s="77"/>
      <c r="J9" s="77"/>
      <c r="K9" s="77"/>
      <c r="L9" s="77"/>
      <c r="M9" s="77"/>
      <c r="N9" s="77"/>
      <c r="O9" s="77"/>
    </row>
    <row r="10" spans="1:15" s="31" customFormat="1" ht="26.25" customHeight="1">
      <c r="A10" s="75" t="s">
        <v>39</v>
      </c>
      <c r="B10" s="75"/>
      <c r="C10" s="76"/>
      <c r="D10" s="32"/>
      <c r="E10" s="33" t="s">
        <v>1</v>
      </c>
      <c r="F10" s="77" t="s">
        <v>36</v>
      </c>
      <c r="G10" s="77"/>
      <c r="H10" s="77"/>
      <c r="I10" s="77"/>
      <c r="J10" s="77"/>
      <c r="K10" s="77"/>
      <c r="L10" s="77"/>
      <c r="M10" s="77"/>
      <c r="N10" s="77"/>
      <c r="O10" s="77"/>
    </row>
    <row r="11" spans="1:15" s="31" customFormat="1" ht="53.25" customHeight="1">
      <c r="A11" s="75" t="s">
        <v>40</v>
      </c>
      <c r="B11" s="75"/>
      <c r="C11" s="76"/>
      <c r="D11" s="32"/>
      <c r="E11" s="33" t="s">
        <v>1</v>
      </c>
      <c r="F11" s="77" t="s">
        <v>28</v>
      </c>
      <c r="G11" s="77"/>
      <c r="H11" s="77"/>
      <c r="I11" s="77"/>
      <c r="J11" s="77"/>
      <c r="K11" s="77"/>
      <c r="L11" s="77"/>
      <c r="M11" s="77"/>
      <c r="N11" s="77"/>
      <c r="O11" s="77"/>
    </row>
    <row r="12" spans="1:15" s="31" customFormat="1" ht="41.25" customHeight="1">
      <c r="A12" s="75" t="s">
        <v>41</v>
      </c>
      <c r="B12" s="75"/>
      <c r="C12" s="76"/>
      <c r="D12" s="66"/>
      <c r="E12" s="33" t="s">
        <v>21</v>
      </c>
      <c r="F12" s="77" t="s">
        <v>48</v>
      </c>
      <c r="G12" s="77"/>
      <c r="H12" s="77"/>
      <c r="I12" s="77"/>
      <c r="J12" s="77"/>
      <c r="K12" s="77"/>
      <c r="L12" s="77"/>
      <c r="M12" s="77"/>
      <c r="N12" s="77"/>
      <c r="O12" s="77"/>
    </row>
    <row r="13" spans="1:15" s="31" customFormat="1" ht="39" customHeight="1">
      <c r="A13" s="76" t="s">
        <v>49</v>
      </c>
      <c r="B13" s="87"/>
      <c r="C13" s="88"/>
      <c r="D13" s="70" t="s">
        <v>73</v>
      </c>
      <c r="E13" s="71"/>
      <c r="F13" s="77" t="s">
        <v>50</v>
      </c>
      <c r="G13" s="77"/>
      <c r="H13" s="77"/>
      <c r="I13" s="77"/>
      <c r="J13" s="77"/>
      <c r="K13" s="77"/>
      <c r="L13" s="77"/>
      <c r="M13" s="77"/>
      <c r="N13" s="77"/>
      <c r="O13" s="77"/>
    </row>
    <row r="14" spans="1:15" s="31" customFormat="1" ht="24" customHeight="1">
      <c r="A14" s="75" t="s">
        <v>76</v>
      </c>
      <c r="B14" s="75"/>
      <c r="C14" s="76"/>
      <c r="D14" s="78"/>
      <c r="E14" s="79"/>
      <c r="F14" s="77" t="s">
        <v>77</v>
      </c>
      <c r="G14" s="77"/>
      <c r="H14" s="77"/>
      <c r="I14" s="77"/>
      <c r="J14" s="77"/>
      <c r="K14" s="77"/>
      <c r="L14" s="77"/>
      <c r="M14" s="77"/>
      <c r="N14" s="77"/>
      <c r="O14" s="77"/>
    </row>
    <row r="15" spans="1:15" s="31" customFormat="1" ht="24" customHeight="1">
      <c r="A15" s="75" t="s">
        <v>78</v>
      </c>
      <c r="B15" s="75"/>
      <c r="C15" s="76"/>
      <c r="D15" s="78"/>
      <c r="E15" s="79"/>
      <c r="F15" s="77" t="s">
        <v>79</v>
      </c>
      <c r="G15" s="77"/>
      <c r="H15" s="77"/>
      <c r="I15" s="77"/>
      <c r="J15" s="77"/>
      <c r="K15" s="77"/>
      <c r="L15" s="77"/>
      <c r="M15" s="77"/>
      <c r="N15" s="77"/>
      <c r="O15" s="77"/>
    </row>
    <row r="16" spans="1:10" ht="15" thickBot="1">
      <c r="A16" s="80"/>
      <c r="B16" s="80"/>
      <c r="C16" s="4"/>
      <c r="D16" s="1"/>
      <c r="E16" s="73"/>
      <c r="F16" s="73"/>
      <c r="G16" s="73"/>
      <c r="H16" s="73"/>
      <c r="I16" s="2"/>
      <c r="J16" s="2"/>
    </row>
    <row r="17" spans="1:15" ht="64.5" thickBot="1">
      <c r="A17" s="34" t="s">
        <v>26</v>
      </c>
      <c r="B17" s="5" t="s">
        <v>14</v>
      </c>
      <c r="C17" s="5" t="s">
        <v>15</v>
      </c>
      <c r="D17" s="5" t="s">
        <v>22</v>
      </c>
      <c r="E17" s="5" t="s">
        <v>24</v>
      </c>
      <c r="F17" s="5" t="s">
        <v>60</v>
      </c>
      <c r="G17" s="5" t="s">
        <v>16</v>
      </c>
      <c r="H17" s="5" t="s">
        <v>17</v>
      </c>
      <c r="I17" s="61" t="s">
        <v>70</v>
      </c>
      <c r="J17" s="6" t="s">
        <v>18</v>
      </c>
      <c r="K17" s="6" t="s">
        <v>19</v>
      </c>
      <c r="L17" s="6" t="s">
        <v>61</v>
      </c>
      <c r="M17" s="6" t="s">
        <v>62</v>
      </c>
      <c r="N17" s="6" t="s">
        <v>63</v>
      </c>
      <c r="O17" s="6" t="s">
        <v>64</v>
      </c>
    </row>
    <row r="18" spans="1:39" ht="12.75">
      <c r="A18" s="35" t="s">
        <v>2</v>
      </c>
      <c r="B18" s="36">
        <v>744</v>
      </c>
      <c r="C18" s="37"/>
      <c r="D18" s="38">
        <f aca="true" t="shared" si="0" ref="D18:D30">C18/B18</f>
        <v>0</v>
      </c>
      <c r="E18" s="39">
        <f>C18*($D$7-$D$8)</f>
        <v>0</v>
      </c>
      <c r="F18" s="15"/>
      <c r="G18" s="39">
        <f aca="true" t="shared" si="1" ref="G18:G29">C18*$D$11</f>
        <v>0</v>
      </c>
      <c r="H18" s="40"/>
      <c r="I18" s="62" t="e">
        <f>G18/H18</f>
        <v>#DIV/0!</v>
      </c>
      <c r="J18" s="39">
        <f aca="true" t="shared" si="2" ref="J18:J29">MIN(G18,H18)</f>
        <v>0</v>
      </c>
      <c r="K18" s="54">
        <f aca="true" t="shared" si="3" ref="K18:K29">C18*$D$9</f>
        <v>0</v>
      </c>
      <c r="L18" s="54">
        <f aca="true" t="shared" si="4" ref="L18:L29">C18*$D$10</f>
        <v>0</v>
      </c>
      <c r="M18" s="54">
        <f>L18*53.02/1000000</f>
        <v>0</v>
      </c>
      <c r="N18" s="54">
        <f>J18/(0.8*1000000)*53.02</f>
        <v>0</v>
      </c>
      <c r="O18" s="54">
        <f>M18-N18</f>
        <v>0</v>
      </c>
      <c r="AK18" s="67" t="s">
        <v>73</v>
      </c>
      <c r="AM18" s="68" t="b">
        <v>0</v>
      </c>
    </row>
    <row r="19" spans="1:39" ht="12.75">
      <c r="A19" s="24" t="s">
        <v>3</v>
      </c>
      <c r="B19" s="17">
        <v>672</v>
      </c>
      <c r="C19" s="15"/>
      <c r="D19" s="13">
        <f t="shared" si="0"/>
        <v>0</v>
      </c>
      <c r="E19" s="7">
        <f aca="true" t="shared" si="5" ref="E19:E29">C19*($D$7-$D$8)</f>
        <v>0</v>
      </c>
      <c r="F19" s="15"/>
      <c r="G19" s="7">
        <f t="shared" si="1"/>
        <v>0</v>
      </c>
      <c r="H19" s="40"/>
      <c r="I19" s="63" t="e">
        <f aca="true" t="shared" si="6" ref="I19:I28">G19/H19</f>
        <v>#DIV/0!</v>
      </c>
      <c r="J19" s="7">
        <f t="shared" si="2"/>
        <v>0</v>
      </c>
      <c r="K19" s="55">
        <f t="shared" si="3"/>
        <v>0</v>
      </c>
      <c r="L19" s="55">
        <f t="shared" si="4"/>
        <v>0</v>
      </c>
      <c r="M19" s="55">
        <f aca="true" t="shared" si="7" ref="M19:M29">L19*53.02/1000000</f>
        <v>0</v>
      </c>
      <c r="N19" s="54">
        <f aca="true" t="shared" si="8" ref="N19:N28">J19/(0.8*1000000)*53.02</f>
        <v>0</v>
      </c>
      <c r="O19" s="55">
        <f aca="true" t="shared" si="9" ref="O19:O29">M19-N19</f>
        <v>0</v>
      </c>
      <c r="AK19" s="67" t="s">
        <v>74</v>
      </c>
      <c r="AM19" s="68" t="b">
        <v>0</v>
      </c>
    </row>
    <row r="20" spans="1:37" ht="12.75">
      <c r="A20" s="24" t="s">
        <v>4</v>
      </c>
      <c r="B20" s="17">
        <v>744</v>
      </c>
      <c r="C20" s="15"/>
      <c r="D20" s="13">
        <f t="shared" si="0"/>
        <v>0</v>
      </c>
      <c r="E20" s="7">
        <f t="shared" si="5"/>
        <v>0</v>
      </c>
      <c r="F20" s="15"/>
      <c r="G20" s="7">
        <f t="shared" si="1"/>
        <v>0</v>
      </c>
      <c r="H20" s="40"/>
      <c r="I20" s="63" t="e">
        <f t="shared" si="6"/>
        <v>#DIV/0!</v>
      </c>
      <c r="J20" s="7">
        <f t="shared" si="2"/>
        <v>0</v>
      </c>
      <c r="K20" s="55">
        <f t="shared" si="3"/>
        <v>0</v>
      </c>
      <c r="L20" s="55">
        <f t="shared" si="4"/>
        <v>0</v>
      </c>
      <c r="M20" s="55">
        <f t="shared" si="7"/>
        <v>0</v>
      </c>
      <c r="N20" s="54">
        <f t="shared" si="8"/>
        <v>0</v>
      </c>
      <c r="O20" s="55">
        <f t="shared" si="9"/>
        <v>0</v>
      </c>
      <c r="AK20" s="67" t="s">
        <v>75</v>
      </c>
    </row>
    <row r="21" spans="1:15" ht="12.75">
      <c r="A21" s="24" t="s">
        <v>5</v>
      </c>
      <c r="B21" s="17">
        <v>720</v>
      </c>
      <c r="C21" s="15"/>
      <c r="D21" s="13">
        <f t="shared" si="0"/>
        <v>0</v>
      </c>
      <c r="E21" s="7">
        <f t="shared" si="5"/>
        <v>0</v>
      </c>
      <c r="F21" s="15"/>
      <c r="G21" s="7">
        <f t="shared" si="1"/>
        <v>0</v>
      </c>
      <c r="H21" s="40"/>
      <c r="I21" s="63" t="e">
        <f t="shared" si="6"/>
        <v>#DIV/0!</v>
      </c>
      <c r="J21" s="7">
        <f t="shared" si="2"/>
        <v>0</v>
      </c>
      <c r="K21" s="55">
        <f t="shared" si="3"/>
        <v>0</v>
      </c>
      <c r="L21" s="55">
        <f t="shared" si="4"/>
        <v>0</v>
      </c>
      <c r="M21" s="55">
        <f t="shared" si="7"/>
        <v>0</v>
      </c>
      <c r="N21" s="54">
        <f t="shared" si="8"/>
        <v>0</v>
      </c>
      <c r="O21" s="55">
        <f t="shared" si="9"/>
        <v>0</v>
      </c>
    </row>
    <row r="22" spans="1:15" ht="12.75">
      <c r="A22" s="24" t="s">
        <v>6</v>
      </c>
      <c r="B22" s="17">
        <v>744</v>
      </c>
      <c r="C22" s="15"/>
      <c r="D22" s="13">
        <f t="shared" si="0"/>
        <v>0</v>
      </c>
      <c r="E22" s="7">
        <f t="shared" si="5"/>
        <v>0</v>
      </c>
      <c r="F22" s="15"/>
      <c r="G22" s="7">
        <f t="shared" si="1"/>
        <v>0</v>
      </c>
      <c r="H22" s="40"/>
      <c r="I22" s="63" t="e">
        <f t="shared" si="6"/>
        <v>#DIV/0!</v>
      </c>
      <c r="J22" s="7">
        <f t="shared" si="2"/>
        <v>0</v>
      </c>
      <c r="K22" s="55">
        <f t="shared" si="3"/>
        <v>0</v>
      </c>
      <c r="L22" s="55">
        <f t="shared" si="4"/>
        <v>0</v>
      </c>
      <c r="M22" s="55">
        <f t="shared" si="7"/>
        <v>0</v>
      </c>
      <c r="N22" s="54">
        <f t="shared" si="8"/>
        <v>0</v>
      </c>
      <c r="O22" s="55">
        <f t="shared" si="9"/>
        <v>0</v>
      </c>
    </row>
    <row r="23" spans="1:15" ht="12.75">
      <c r="A23" s="24" t="s">
        <v>7</v>
      </c>
      <c r="B23" s="17">
        <v>720</v>
      </c>
      <c r="C23" s="15"/>
      <c r="D23" s="13">
        <f t="shared" si="0"/>
        <v>0</v>
      </c>
      <c r="E23" s="7">
        <f t="shared" si="5"/>
        <v>0</v>
      </c>
      <c r="F23" s="15"/>
      <c r="G23" s="7">
        <f t="shared" si="1"/>
        <v>0</v>
      </c>
      <c r="H23" s="40"/>
      <c r="I23" s="63" t="e">
        <f t="shared" si="6"/>
        <v>#DIV/0!</v>
      </c>
      <c r="J23" s="7">
        <f t="shared" si="2"/>
        <v>0</v>
      </c>
      <c r="K23" s="55">
        <f t="shared" si="3"/>
        <v>0</v>
      </c>
      <c r="L23" s="55">
        <f t="shared" si="4"/>
        <v>0</v>
      </c>
      <c r="M23" s="55">
        <f t="shared" si="7"/>
        <v>0</v>
      </c>
      <c r="N23" s="54">
        <f t="shared" si="8"/>
        <v>0</v>
      </c>
      <c r="O23" s="55">
        <f t="shared" si="9"/>
        <v>0</v>
      </c>
    </row>
    <row r="24" spans="1:15" ht="12.75">
      <c r="A24" s="24" t="s">
        <v>8</v>
      </c>
      <c r="B24" s="17">
        <v>744</v>
      </c>
      <c r="C24" s="15"/>
      <c r="D24" s="13">
        <f t="shared" si="0"/>
        <v>0</v>
      </c>
      <c r="E24" s="7">
        <f t="shared" si="5"/>
        <v>0</v>
      </c>
      <c r="F24" s="15"/>
      <c r="G24" s="7">
        <f t="shared" si="1"/>
        <v>0</v>
      </c>
      <c r="H24" s="40"/>
      <c r="I24" s="63" t="e">
        <f t="shared" si="6"/>
        <v>#DIV/0!</v>
      </c>
      <c r="J24" s="7">
        <f t="shared" si="2"/>
        <v>0</v>
      </c>
      <c r="K24" s="55">
        <f t="shared" si="3"/>
        <v>0</v>
      </c>
      <c r="L24" s="55">
        <f t="shared" si="4"/>
        <v>0</v>
      </c>
      <c r="M24" s="55">
        <f t="shared" si="7"/>
        <v>0</v>
      </c>
      <c r="N24" s="54">
        <f t="shared" si="8"/>
        <v>0</v>
      </c>
      <c r="O24" s="55">
        <f t="shared" si="9"/>
        <v>0</v>
      </c>
    </row>
    <row r="25" spans="1:15" ht="12.75">
      <c r="A25" s="24" t="s">
        <v>9</v>
      </c>
      <c r="B25" s="17">
        <v>744</v>
      </c>
      <c r="C25" s="15"/>
      <c r="D25" s="13">
        <f t="shared" si="0"/>
        <v>0</v>
      </c>
      <c r="E25" s="7">
        <f t="shared" si="5"/>
        <v>0</v>
      </c>
      <c r="F25" s="15"/>
      <c r="G25" s="7">
        <f t="shared" si="1"/>
        <v>0</v>
      </c>
      <c r="H25" s="40"/>
      <c r="I25" s="63" t="e">
        <f t="shared" si="6"/>
        <v>#DIV/0!</v>
      </c>
      <c r="J25" s="7">
        <f t="shared" si="2"/>
        <v>0</v>
      </c>
      <c r="K25" s="55">
        <f t="shared" si="3"/>
        <v>0</v>
      </c>
      <c r="L25" s="55">
        <f t="shared" si="4"/>
        <v>0</v>
      </c>
      <c r="M25" s="55">
        <f t="shared" si="7"/>
        <v>0</v>
      </c>
      <c r="N25" s="54">
        <f t="shared" si="8"/>
        <v>0</v>
      </c>
      <c r="O25" s="55">
        <f t="shared" si="9"/>
        <v>0</v>
      </c>
    </row>
    <row r="26" spans="1:15" ht="12.75">
      <c r="A26" s="24" t="s">
        <v>10</v>
      </c>
      <c r="B26" s="17">
        <v>720</v>
      </c>
      <c r="C26" s="15"/>
      <c r="D26" s="13">
        <f t="shared" si="0"/>
        <v>0</v>
      </c>
      <c r="E26" s="7">
        <f t="shared" si="5"/>
        <v>0</v>
      </c>
      <c r="F26" s="15"/>
      <c r="G26" s="7">
        <f t="shared" si="1"/>
        <v>0</v>
      </c>
      <c r="H26" s="40"/>
      <c r="I26" s="63" t="e">
        <f t="shared" si="6"/>
        <v>#DIV/0!</v>
      </c>
      <c r="J26" s="7">
        <f t="shared" si="2"/>
        <v>0</v>
      </c>
      <c r="K26" s="55">
        <f t="shared" si="3"/>
        <v>0</v>
      </c>
      <c r="L26" s="55">
        <f t="shared" si="4"/>
        <v>0</v>
      </c>
      <c r="M26" s="55">
        <f t="shared" si="7"/>
        <v>0</v>
      </c>
      <c r="N26" s="54">
        <f t="shared" si="8"/>
        <v>0</v>
      </c>
      <c r="O26" s="55">
        <f t="shared" si="9"/>
        <v>0</v>
      </c>
    </row>
    <row r="27" spans="1:15" ht="12.75">
      <c r="A27" s="24" t="s">
        <v>11</v>
      </c>
      <c r="B27" s="17">
        <v>744</v>
      </c>
      <c r="C27" s="15"/>
      <c r="D27" s="13">
        <f t="shared" si="0"/>
        <v>0</v>
      </c>
      <c r="E27" s="7">
        <f t="shared" si="5"/>
        <v>0</v>
      </c>
      <c r="F27" s="15"/>
      <c r="G27" s="7">
        <f t="shared" si="1"/>
        <v>0</v>
      </c>
      <c r="H27" s="40"/>
      <c r="I27" s="63" t="e">
        <f t="shared" si="6"/>
        <v>#DIV/0!</v>
      </c>
      <c r="J27" s="7">
        <f t="shared" si="2"/>
        <v>0</v>
      </c>
      <c r="K27" s="55">
        <f t="shared" si="3"/>
        <v>0</v>
      </c>
      <c r="L27" s="55">
        <f t="shared" si="4"/>
        <v>0</v>
      </c>
      <c r="M27" s="55">
        <f t="shared" si="7"/>
        <v>0</v>
      </c>
      <c r="N27" s="54">
        <f t="shared" si="8"/>
        <v>0</v>
      </c>
      <c r="O27" s="55">
        <f t="shared" si="9"/>
        <v>0</v>
      </c>
    </row>
    <row r="28" spans="1:15" ht="12.75">
      <c r="A28" s="24" t="s">
        <v>12</v>
      </c>
      <c r="B28" s="17">
        <v>720</v>
      </c>
      <c r="C28" s="15"/>
      <c r="D28" s="13">
        <f t="shared" si="0"/>
        <v>0</v>
      </c>
      <c r="E28" s="7">
        <f t="shared" si="5"/>
        <v>0</v>
      </c>
      <c r="F28" s="15"/>
      <c r="G28" s="7">
        <f t="shared" si="1"/>
        <v>0</v>
      </c>
      <c r="H28" s="40"/>
      <c r="I28" s="63" t="e">
        <f t="shared" si="6"/>
        <v>#DIV/0!</v>
      </c>
      <c r="J28" s="7">
        <f t="shared" si="2"/>
        <v>0</v>
      </c>
      <c r="K28" s="55">
        <f t="shared" si="3"/>
        <v>0</v>
      </c>
      <c r="L28" s="55">
        <f t="shared" si="4"/>
        <v>0</v>
      </c>
      <c r="M28" s="55">
        <f t="shared" si="7"/>
        <v>0</v>
      </c>
      <c r="N28" s="54">
        <f t="shared" si="8"/>
        <v>0</v>
      </c>
      <c r="O28" s="55">
        <f t="shared" si="9"/>
        <v>0</v>
      </c>
    </row>
    <row r="29" spans="1:15" ht="13.5" thickBot="1">
      <c r="A29" s="25" t="s">
        <v>13</v>
      </c>
      <c r="B29" s="18">
        <v>744</v>
      </c>
      <c r="C29" s="16"/>
      <c r="D29" s="14">
        <f t="shared" si="0"/>
        <v>0</v>
      </c>
      <c r="E29" s="8">
        <f t="shared" si="5"/>
        <v>0</v>
      </c>
      <c r="F29" s="16"/>
      <c r="G29" s="8">
        <f t="shared" si="1"/>
        <v>0</v>
      </c>
      <c r="H29" s="40"/>
      <c r="I29" s="64" t="e">
        <f>G29/H29</f>
        <v>#DIV/0!</v>
      </c>
      <c r="J29" s="8">
        <f t="shared" si="2"/>
        <v>0</v>
      </c>
      <c r="K29" s="56">
        <f t="shared" si="3"/>
        <v>0</v>
      </c>
      <c r="L29" s="56">
        <f t="shared" si="4"/>
        <v>0</v>
      </c>
      <c r="M29" s="56">
        <f t="shared" si="7"/>
        <v>0</v>
      </c>
      <c r="N29" s="54">
        <f>J29/(0.8*1000000)*53.02</f>
        <v>0</v>
      </c>
      <c r="O29" s="56">
        <f t="shared" si="9"/>
        <v>0</v>
      </c>
    </row>
    <row r="30" spans="1:15" ht="13.5" thickBot="1">
      <c r="A30" s="26" t="s">
        <v>23</v>
      </c>
      <c r="B30" s="19">
        <f>SUM(B18:B29)</f>
        <v>8760</v>
      </c>
      <c r="C30" s="20">
        <f>SUM(C18:C29)</f>
        <v>0</v>
      </c>
      <c r="D30" s="21">
        <f t="shared" si="0"/>
        <v>0</v>
      </c>
      <c r="E30" s="22">
        <f>SUM(E18:E29)</f>
        <v>0</v>
      </c>
      <c r="F30" s="20">
        <f aca="true" t="shared" si="10" ref="F30:O30">SUM(F18:F29)</f>
        <v>0</v>
      </c>
      <c r="G30" s="22">
        <f t="shared" si="10"/>
        <v>0</v>
      </c>
      <c r="H30" s="22">
        <f t="shared" si="10"/>
        <v>0</v>
      </c>
      <c r="I30" s="69" t="e">
        <f>G30/H30</f>
        <v>#DIV/0!</v>
      </c>
      <c r="J30" s="23">
        <f t="shared" si="10"/>
        <v>0</v>
      </c>
      <c r="K30" s="23">
        <f t="shared" si="10"/>
        <v>0</v>
      </c>
      <c r="L30" s="23">
        <f t="shared" si="10"/>
        <v>0</v>
      </c>
      <c r="M30" s="23">
        <f t="shared" si="10"/>
        <v>0</v>
      </c>
      <c r="N30" s="23">
        <f t="shared" si="10"/>
        <v>0</v>
      </c>
      <c r="O30" s="23">
        <f t="shared" si="10"/>
        <v>0</v>
      </c>
    </row>
    <row r="31" spans="1:10" ht="12.75">
      <c r="A31" s="3"/>
      <c r="B31" s="2"/>
      <c r="C31" s="3"/>
      <c r="D31" s="2"/>
      <c r="E31" s="9"/>
      <c r="F31" s="10"/>
      <c r="G31" s="2"/>
      <c r="H31" s="2"/>
      <c r="I31" s="2"/>
      <c r="J31" s="9"/>
    </row>
    <row r="32" spans="1:15" ht="15">
      <c r="A32" s="74" t="s">
        <v>51</v>
      </c>
      <c r="B32" s="74"/>
      <c r="C32" s="74"/>
      <c r="D32" s="41" t="e">
        <f>IF($D$13="Renewable","EXEMPT",IF(OR(AND(E33,E34),E35),"PASS","FAIL"))</f>
        <v>#DIV/0!</v>
      </c>
      <c r="E32" s="42">
        <f>IF($D$13="Renewable","Renewable Fuel Generators are Exempt from the Minimum Operating Efficiency Requirement","")</f>
      </c>
      <c r="F32" s="43"/>
      <c r="G32" s="44"/>
      <c r="H32" s="44"/>
      <c r="I32" s="44"/>
      <c r="J32" s="44"/>
      <c r="K32" s="44"/>
      <c r="L32" s="44"/>
      <c r="M32" s="44"/>
      <c r="N32" s="44"/>
      <c r="O32" s="44"/>
    </row>
    <row r="33" spans="1:15" ht="14.25">
      <c r="A33" s="72" t="s">
        <v>52</v>
      </c>
      <c r="B33" s="72"/>
      <c r="C33" s="45" t="e">
        <f>$J$30/($E$30*3413+$J$30)</f>
        <v>#DIV/0!</v>
      </c>
      <c r="D33" s="46" t="s">
        <v>45</v>
      </c>
      <c r="E33" s="47" t="e">
        <f>(C33&gt;=0.05)</f>
        <v>#DIV/0!</v>
      </c>
      <c r="F33" s="48" t="s">
        <v>53</v>
      </c>
      <c r="G33" s="44"/>
      <c r="H33" s="44"/>
      <c r="I33" s="44"/>
      <c r="J33" s="44"/>
      <c r="K33" s="44"/>
      <c r="L33" s="44"/>
      <c r="M33" s="44"/>
      <c r="N33" s="44"/>
      <c r="O33" s="44"/>
    </row>
    <row r="34" spans="1:15" ht="14.25">
      <c r="A34" s="72" t="s">
        <v>54</v>
      </c>
      <c r="B34" s="72"/>
      <c r="C34" s="45" t="e">
        <f>($E$30*3413+0.5*$J$30)/$K$30</f>
        <v>#DIV/0!</v>
      </c>
      <c r="D34" s="46" t="s">
        <v>46</v>
      </c>
      <c r="E34" s="47" t="e">
        <f>(C34&gt;=0.425)</f>
        <v>#DIV/0!</v>
      </c>
      <c r="F34" s="48" t="s">
        <v>55</v>
      </c>
      <c r="G34" s="44"/>
      <c r="H34" s="44"/>
      <c r="I34" s="44"/>
      <c r="J34" s="44"/>
      <c r="K34" s="44"/>
      <c r="L34" s="44"/>
      <c r="M34" s="44"/>
      <c r="N34" s="44"/>
      <c r="O34" s="44"/>
    </row>
    <row r="35" spans="1:15" ht="14.25">
      <c r="A35" s="72" t="s">
        <v>56</v>
      </c>
      <c r="B35" s="72" t="s">
        <v>56</v>
      </c>
      <c r="C35" s="45" t="e">
        <f>D7*3413/D10</f>
        <v>#DIV/0!</v>
      </c>
      <c r="D35" s="46" t="s">
        <v>57</v>
      </c>
      <c r="E35" s="47" t="e">
        <f>(C35&gt;=0.4)</f>
        <v>#DIV/0!</v>
      </c>
      <c r="F35" s="48" t="s">
        <v>27</v>
      </c>
      <c r="G35" s="44"/>
      <c r="H35" s="44"/>
      <c r="I35" s="44"/>
      <c r="J35" s="44"/>
      <c r="K35" s="44"/>
      <c r="L35" s="44"/>
      <c r="M35" s="44"/>
      <c r="N35" s="44"/>
      <c r="O35" s="44"/>
    </row>
    <row r="36" spans="1:10" ht="14.25">
      <c r="A36" s="11"/>
      <c r="B36" s="11"/>
      <c r="C36" s="27"/>
      <c r="D36" s="28"/>
      <c r="E36" s="29"/>
      <c r="F36" s="3"/>
      <c r="G36" s="2"/>
      <c r="H36" s="2"/>
      <c r="I36" s="2"/>
      <c r="J36" s="2"/>
    </row>
    <row r="37" spans="1:15" ht="15">
      <c r="A37" s="74" t="s">
        <v>65</v>
      </c>
      <c r="B37" s="74"/>
      <c r="C37" s="74"/>
      <c r="D37" s="41" t="e">
        <f>IF(OR($D$13="Waste Gas",$D$13="Renewable",$AM$18),"EXEMPT",IF(AND(E38,OR(E39,E40)),"PASS","FAIL"))</f>
        <v>#DIV/0!</v>
      </c>
      <c r="E37" s="42">
        <f>IF(OR($D$13="Waste Gas",$D$13="Renewable"),"Waste Gas &amp; Renewable Fuel Generators are Exempt from the Emissions Requirements","")</f>
      </c>
      <c r="F37" s="48"/>
      <c r="G37" s="44"/>
      <c r="H37" s="44"/>
      <c r="I37" s="44"/>
      <c r="J37" s="44"/>
      <c r="K37" s="44"/>
      <c r="L37" s="44"/>
      <c r="M37" s="44"/>
      <c r="N37" s="44"/>
      <c r="O37" s="44"/>
    </row>
    <row r="38" spans="1:15" ht="14.25">
      <c r="A38" s="72" t="s">
        <v>20</v>
      </c>
      <c r="B38" s="72"/>
      <c r="C38" s="45" t="e">
        <f>($D$7*3413+$D$11)/$D$10</f>
        <v>#DIV/0!</v>
      </c>
      <c r="D38" s="46" t="s">
        <v>44</v>
      </c>
      <c r="E38" s="47" t="e">
        <f>(C38&gt;=0.6)</f>
        <v>#DIV/0!</v>
      </c>
      <c r="F38" s="48" t="s">
        <v>27</v>
      </c>
      <c r="G38" s="44"/>
      <c r="H38" s="44"/>
      <c r="I38" s="44"/>
      <c r="J38" s="44"/>
      <c r="K38" s="44"/>
      <c r="L38" s="44"/>
      <c r="M38" s="44"/>
      <c r="N38" s="44"/>
      <c r="O38" s="44"/>
    </row>
    <row r="39" spans="1:15" ht="12.75" customHeight="1">
      <c r="A39" s="72" t="s">
        <v>29</v>
      </c>
      <c r="B39" s="72"/>
      <c r="C39" s="49">
        <f>D12</f>
        <v>0</v>
      </c>
      <c r="D39" s="60" t="s">
        <v>58</v>
      </c>
      <c r="E39" s="47" t="b">
        <f>(C39&lt;=0.07)</f>
        <v>1</v>
      </c>
      <c r="F39" s="48" t="s">
        <v>27</v>
      </c>
      <c r="G39" s="51"/>
      <c r="H39" s="51"/>
      <c r="I39" s="51"/>
      <c r="J39" s="44"/>
      <c r="K39" s="44"/>
      <c r="L39" s="44"/>
      <c r="M39" s="44"/>
      <c r="N39" s="44"/>
      <c r="O39" s="44"/>
    </row>
    <row r="40" spans="1:15" ht="12.75" customHeight="1">
      <c r="A40" s="72" t="s">
        <v>30</v>
      </c>
      <c r="B40" s="72"/>
      <c r="C40" s="49" t="e">
        <f>(C39*D7/1000)/(D7/1000+J30/1000000/3.4/C30)</f>
        <v>#DIV/0!</v>
      </c>
      <c r="D40" s="50" t="s">
        <v>58</v>
      </c>
      <c r="E40" s="47" t="e">
        <f>(C40&lt;=0.07)</f>
        <v>#DIV/0!</v>
      </c>
      <c r="F40" s="82" t="s">
        <v>59</v>
      </c>
      <c r="G40" s="82"/>
      <c r="H40" s="82"/>
      <c r="I40" s="82"/>
      <c r="J40" s="44"/>
      <c r="K40" s="44"/>
      <c r="L40" s="44"/>
      <c r="M40" s="44"/>
      <c r="N40" s="44"/>
      <c r="O40" s="44"/>
    </row>
    <row r="41" spans="1:15" ht="24" customHeight="1">
      <c r="A41" s="52"/>
      <c r="B41" s="52"/>
      <c r="C41" s="52"/>
      <c r="D41" s="52"/>
      <c r="E41" s="52"/>
      <c r="F41" s="82"/>
      <c r="G41" s="82"/>
      <c r="H41" s="82"/>
      <c r="I41" s="82"/>
      <c r="J41" s="44"/>
      <c r="K41" s="44"/>
      <c r="L41" s="44"/>
      <c r="M41" s="44"/>
      <c r="N41" s="44"/>
      <c r="O41" s="44"/>
    </row>
    <row r="42" spans="1:9" ht="12.75">
      <c r="A42" s="83"/>
      <c r="B42" s="83"/>
      <c r="C42" s="83"/>
      <c r="D42" s="83"/>
      <c r="E42" s="2"/>
      <c r="F42" s="2"/>
      <c r="G42" s="2"/>
      <c r="H42" s="2"/>
      <c r="I42" s="12"/>
    </row>
    <row r="43" spans="1:15" ht="15">
      <c r="A43" s="74" t="s">
        <v>66</v>
      </c>
      <c r="B43" s="74"/>
      <c r="C43" s="74"/>
      <c r="D43" s="41" t="e">
        <f>IF($D$13="Renewable","EXEMPT",IF(E44,"PASS","FAIL"))</f>
        <v>#DIV/0!</v>
      </c>
      <c r="E43" s="42">
        <f>IF($D$13="Renewable","Renewable Fuel Generators are Exempt from the Emissions Requirements","")</f>
      </c>
      <c r="F43" s="48"/>
      <c r="G43" s="44"/>
      <c r="H43" s="44"/>
      <c r="I43" s="44"/>
      <c r="J43" s="44"/>
      <c r="K43" s="44"/>
      <c r="L43" s="44"/>
      <c r="M43" s="44"/>
      <c r="N43" s="44"/>
      <c r="O43" s="44"/>
    </row>
    <row r="44" spans="1:15" ht="14.25">
      <c r="A44" s="81" t="s">
        <v>67</v>
      </c>
      <c r="B44" s="72"/>
      <c r="C44" s="57" t="e">
        <f>O30/(E30/1000)</f>
        <v>#DIV/0!</v>
      </c>
      <c r="D44" s="58" t="s">
        <v>68</v>
      </c>
      <c r="E44" s="47" t="e">
        <f>(C44&lt;379)</f>
        <v>#DIV/0!</v>
      </c>
      <c r="F44" s="59" t="s">
        <v>69</v>
      </c>
      <c r="G44" s="44"/>
      <c r="H44" s="44"/>
      <c r="I44" s="44"/>
      <c r="J44" s="44"/>
      <c r="K44" s="44"/>
      <c r="L44" s="44"/>
      <c r="M44" s="44"/>
      <c r="N44" s="44"/>
      <c r="O44" s="44"/>
    </row>
    <row r="46" spans="1:15" ht="15">
      <c r="A46" s="74" t="s">
        <v>80</v>
      </c>
      <c r="B46" s="74"/>
      <c r="C46" s="74"/>
      <c r="D46" s="41" t="e">
        <f>IF($D$13="Renewable","EXEMPT",IF(E47,"PASS","FAIL"))</f>
        <v>#DIV/0!</v>
      </c>
      <c r="E46" s="42">
        <f>IF($D$13="Renewable","Renewable Fuel Generators are Exempt from the Coincidence of Load Requirements","")</f>
      </c>
      <c r="F46" s="48"/>
      <c r="G46" s="51"/>
      <c r="H46" s="51"/>
      <c r="I46" s="51"/>
      <c r="J46" s="44"/>
      <c r="K46" s="44"/>
      <c r="L46" s="44"/>
      <c r="M46" s="44"/>
      <c r="N46" s="44"/>
      <c r="O46" s="44"/>
    </row>
    <row r="47" spans="1:15" ht="14.25" customHeight="1">
      <c r="A47" s="81" t="s">
        <v>71</v>
      </c>
      <c r="B47" s="72"/>
      <c r="C47" s="65" t="e">
        <f>I30</f>
        <v>#DIV/0!</v>
      </c>
      <c r="D47" s="58" t="s">
        <v>72</v>
      </c>
      <c r="E47" s="47" t="e">
        <f>(C47&lt;=1)</f>
        <v>#DIV/0!</v>
      </c>
      <c r="F47" s="59" t="s">
        <v>69</v>
      </c>
      <c r="G47" s="53"/>
      <c r="H47" s="53"/>
      <c r="I47" s="53"/>
      <c r="J47" s="44"/>
      <c r="K47" s="44"/>
      <c r="L47" s="44"/>
      <c r="M47" s="44"/>
      <c r="N47" s="44"/>
      <c r="O47" s="44"/>
    </row>
    <row r="49" spans="1:15" ht="15">
      <c r="A49" s="74" t="s">
        <v>82</v>
      </c>
      <c r="B49" s="74"/>
      <c r="C49" s="74"/>
      <c r="D49" s="41" t="e">
        <f>IF(E50,"PASS","FAIL")</f>
        <v>#DIV/0!</v>
      </c>
      <c r="E49" s="42"/>
      <c r="F49" s="48"/>
      <c r="G49" s="51"/>
      <c r="H49" s="51"/>
      <c r="I49" s="51"/>
      <c r="J49" s="44"/>
      <c r="K49" s="44"/>
      <c r="L49" s="44"/>
      <c r="M49" s="44"/>
      <c r="N49" s="44"/>
      <c r="O49" s="44"/>
    </row>
    <row r="50" spans="1:15" ht="14.25">
      <c r="A50" s="81" t="s">
        <v>81</v>
      </c>
      <c r="B50" s="72"/>
      <c r="C50" s="65" t="e">
        <f>E30/F30</f>
        <v>#DIV/0!</v>
      </c>
      <c r="D50" s="58" t="str">
        <f>IF(AM19=TRUE,"≤1.25","≤1.00")</f>
        <v>≤1.00</v>
      </c>
      <c r="E50" s="47" t="e">
        <f>(C50&lt;=IF(AM19=TRUE,1.25,1))</f>
        <v>#DIV/0!</v>
      </c>
      <c r="F50" s="59" t="s">
        <v>69</v>
      </c>
      <c r="G50" s="53"/>
      <c r="H50" s="53"/>
      <c r="I50" s="53"/>
      <c r="J50" s="44"/>
      <c r="K50" s="44"/>
      <c r="L50" s="44"/>
      <c r="M50" s="44"/>
      <c r="N50" s="44"/>
      <c r="O50" s="44"/>
    </row>
  </sheetData>
  <sheetProtection password="F911" sheet="1" selectLockedCells="1"/>
  <mergeCells count="44">
    <mergeCell ref="F11:O11"/>
    <mergeCell ref="F12:O12"/>
    <mergeCell ref="C1:E1"/>
    <mergeCell ref="A13:C13"/>
    <mergeCell ref="A10:C10"/>
    <mergeCell ref="H1:I1"/>
    <mergeCell ref="C2:E2"/>
    <mergeCell ref="H2:I2"/>
    <mergeCell ref="A11:C11"/>
    <mergeCell ref="A7:C7"/>
    <mergeCell ref="A8:C8"/>
    <mergeCell ref="B3:O5"/>
    <mergeCell ref="F7:O7"/>
    <mergeCell ref="F8:O8"/>
    <mergeCell ref="F13:O13"/>
    <mergeCell ref="F14:O14"/>
    <mergeCell ref="F9:O9"/>
    <mergeCell ref="F10:O10"/>
    <mergeCell ref="A12:C12"/>
    <mergeCell ref="A9:C9"/>
    <mergeCell ref="A50:B50"/>
    <mergeCell ref="A47:B47"/>
    <mergeCell ref="A40:B40"/>
    <mergeCell ref="F40:I41"/>
    <mergeCell ref="A49:C49"/>
    <mergeCell ref="A43:C43"/>
    <mergeCell ref="A44:B44"/>
    <mergeCell ref="A42:D42"/>
    <mergeCell ref="A46:C46"/>
    <mergeCell ref="A37:C37"/>
    <mergeCell ref="A38:B38"/>
    <mergeCell ref="A39:B39"/>
    <mergeCell ref="D14:E14"/>
    <mergeCell ref="A34:B34"/>
    <mergeCell ref="A16:B16"/>
    <mergeCell ref="A15:C15"/>
    <mergeCell ref="D15:E15"/>
    <mergeCell ref="D13:E13"/>
    <mergeCell ref="A35:B35"/>
    <mergeCell ref="E16:H16"/>
    <mergeCell ref="A32:C32"/>
    <mergeCell ref="A33:B33"/>
    <mergeCell ref="A14:C14"/>
    <mergeCell ref="F15:O15"/>
  </mergeCells>
  <dataValidations count="1">
    <dataValidation type="list" allowBlank="1" showInputMessage="1" showErrorMessage="1" sqref="D13:E13">
      <formula1>$AK$18:$AK$20</formula1>
    </dataValidation>
  </dataValidations>
  <printOptions horizontalCentered="1" verticalCentered="1"/>
  <pageMargins left="0.5" right="0.5" top="1" bottom="0.5" header="0.5" footer="0.5"/>
  <pageSetup fitToHeight="1" fitToWidth="1" horizontalDpi="600" verticalDpi="600" orientation="portrait" scale="44" r:id="rId3"/>
  <headerFooter alignWithMargins="0">
    <oddHeader>&amp;C&amp;"Arial,Bold"&amp;14Self-Generation Incentive Program
Waste Heat, Minimum System Efficiency &amp; Emissions Spreadsheet&amp;R
</oddHeader>
    <oddFooter>&amp;L&amp;D&amp;C&amp;P of &amp;N&amp;R&amp;F</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30" sqref="I30"/>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AESC,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K. Ishii</dc:creator>
  <cp:keywords/>
  <dc:description/>
  <cp:lastModifiedBy>Rosie Magana</cp:lastModifiedBy>
  <cp:lastPrinted>2011-11-22T18:00:32Z</cp:lastPrinted>
  <dcterms:created xsi:type="dcterms:W3CDTF">2004-12-23T20:05:02Z</dcterms:created>
  <dcterms:modified xsi:type="dcterms:W3CDTF">2012-03-30T03:12:21Z</dcterms:modified>
  <cp:category/>
  <cp:version/>
  <cp:contentType/>
  <cp:contentStatus/>
</cp:coreProperties>
</file>