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7560" windowHeight="5955" activeTab="0"/>
  </bookViews>
  <sheets>
    <sheet name="Excess Air Tool" sheetId="1" r:id="rId1"/>
    <sheet name="Instructions" sheetId="2" r:id="rId2"/>
    <sheet name="Excess Air" sheetId="3" state="hidden" r:id="rId3"/>
    <sheet name="Induced Draft Tool" sheetId="4" state="hidden" r:id="rId4"/>
    <sheet name="Stack Draft Tool" sheetId="5" state="hidden" r:id="rId5"/>
  </sheets>
  <definedNames>
    <definedName name="_ftn1" localSheetId="1">'Instructions'!#REF!</definedName>
    <definedName name="_ftnref1" localSheetId="1">'Instructions'!$C$41</definedName>
    <definedName name="_xlnm.Print_Area" localSheetId="2">'Excess Air'!$A$1:$F$22</definedName>
    <definedName name="_xlnm.Print_Area" localSheetId="0">'Excess Air Tool'!$A$1:$F$51</definedName>
  </definedNames>
  <calcPr fullCalcOnLoad="1"/>
</workbook>
</file>

<file path=xl/comments1.xml><?xml version="1.0" encoding="utf-8"?>
<comments xmlns="http://schemas.openxmlformats.org/spreadsheetml/2006/main">
  <authors>
    <author>Stu Knoke</author>
  </authors>
  <commentList>
    <comment ref="E11" authorId="0">
      <text>
        <r>
          <rPr>
            <b/>
            <sz val="8"/>
            <rFont val="Tahoma"/>
            <family val="0"/>
          </rPr>
          <t>Input:</t>
        </r>
        <r>
          <rPr>
            <sz val="8"/>
            <rFont val="Tahoma"/>
            <family val="0"/>
          </rPr>
          <t xml:space="preserve">
Connected load is Input Rating or Firing rate</t>
        </r>
      </text>
    </comment>
    <comment ref="E12" authorId="0">
      <text>
        <r>
          <rPr>
            <b/>
            <sz val="8"/>
            <rFont val="Tahoma"/>
            <family val="2"/>
          </rPr>
          <t>Input:</t>
        </r>
        <r>
          <rPr>
            <sz val="8"/>
            <rFont val="Tahoma"/>
            <family val="0"/>
          </rPr>
          <t xml:space="preserve">
Annual operating time includes scheduled time the equipment is turned on but not using gas</t>
        </r>
      </text>
    </comment>
    <comment ref="E13" authorId="0">
      <text>
        <r>
          <rPr>
            <b/>
            <sz val="8"/>
            <rFont val="Tahoma"/>
            <family val="2"/>
          </rPr>
          <t>Input:</t>
        </r>
        <r>
          <rPr>
            <sz val="8"/>
            <rFont val="Tahoma"/>
            <family val="0"/>
          </rPr>
          <t xml:space="preserve">
Load factor is EFLH as a percent of operating time</t>
        </r>
      </text>
    </comment>
    <comment ref="E17" authorId="0">
      <text>
        <r>
          <rPr>
            <b/>
            <sz val="8"/>
            <rFont val="Tahoma"/>
            <family val="0"/>
          </rPr>
          <t>Input:</t>
        </r>
        <r>
          <rPr>
            <sz val="8"/>
            <rFont val="Tahoma"/>
            <family val="0"/>
          </rPr>
          <t xml:space="preserve">
Customer to measure this before reducing excess air.  Generally flue gas temperatures are in the range 300-3,000 F.  For flue gas temperatures between 200 and 300 F, the results below are less accurate, but within 5%.  </t>
        </r>
      </text>
    </comment>
    <comment ref="F17" authorId="0">
      <text>
        <r>
          <rPr>
            <b/>
            <sz val="8"/>
            <rFont val="Tahoma"/>
            <family val="0"/>
          </rPr>
          <t>Input:</t>
        </r>
        <r>
          <rPr>
            <sz val="8"/>
            <rFont val="Tahoma"/>
            <family val="0"/>
          </rPr>
          <t xml:space="preserve">
Customer to measure this after reducing excess air.</t>
        </r>
      </text>
    </comment>
    <comment ref="E18" authorId="0">
      <text>
        <r>
          <rPr>
            <b/>
            <sz val="8"/>
            <rFont val="Tahoma"/>
            <family val="0"/>
          </rPr>
          <t>Input:</t>
        </r>
        <r>
          <rPr>
            <sz val="8"/>
            <rFont val="Tahoma"/>
            <family val="0"/>
          </rPr>
          <t xml:space="preserve">
Customer to measure this before reducing excess air.  </t>
        </r>
      </text>
    </comment>
    <comment ref="F18" authorId="0">
      <text>
        <r>
          <rPr>
            <b/>
            <sz val="8"/>
            <rFont val="Tahoma"/>
            <family val="0"/>
          </rPr>
          <t>Input:</t>
        </r>
        <r>
          <rPr>
            <sz val="8"/>
            <rFont val="Tahoma"/>
            <family val="0"/>
          </rPr>
          <t xml:space="preserve">
Customer to measure this after reducing excess air.</t>
        </r>
      </text>
    </comment>
  </commentList>
</comments>
</file>

<file path=xl/sharedStrings.xml><?xml version="1.0" encoding="utf-8"?>
<sst xmlns="http://schemas.openxmlformats.org/spreadsheetml/2006/main" count="364" uniqueCount="237">
  <si>
    <t>Parameter</t>
  </si>
  <si>
    <t>Scenario</t>
  </si>
  <si>
    <t>Notes</t>
  </si>
  <si>
    <t>Enter result from Report tab of Load Balance Program</t>
  </si>
  <si>
    <t>Base</t>
  </si>
  <si>
    <t>To be hidden in final tool</t>
  </si>
  <si>
    <t>Stoichiometric Available Heat Calc</t>
  </si>
  <si>
    <t>Excess Air Adjustment</t>
  </si>
  <si>
    <t>Combustion Air Preheat Adjustment</t>
  </si>
  <si>
    <t>Final Available Heat Numbers</t>
  </si>
  <si>
    <t>Source: Arvind Thekdi, EC3M</t>
  </si>
  <si>
    <t>Calc Table: Do Not Delete</t>
  </si>
  <si>
    <t>EE Measure</t>
  </si>
  <si>
    <t>May be available from the MAS database</t>
  </si>
  <si>
    <t>Intermediate Results</t>
  </si>
  <si>
    <t>Use Load Balance Tool to determine these inputs</t>
  </si>
  <si>
    <t>Customer supplied information that varies from the Load Balance Tool requires approval</t>
  </si>
  <si>
    <t xml:space="preserve">For excess air reduction, the value should be lower for the efficiency measure than for the baseline.  </t>
  </si>
  <si>
    <t xml:space="preserve">The baseline combustion air temperature is assumed to be ambient conditions.  </t>
  </si>
  <si>
    <t xml:space="preserve">In no case should this temperature be higher than the flue gas temperature.  </t>
  </si>
  <si>
    <t>Theoretical air is the exact quantity of air required for complete combustion.</t>
  </si>
  <si>
    <t xml:space="preserve">Excess air % is calculated from the % O2 in the flue gas.  </t>
  </si>
  <si>
    <t>Final Result</t>
  </si>
  <si>
    <t>c. Load Factor</t>
  </si>
  <si>
    <t>e. Annual Gas Use (therms/yr)</t>
  </si>
  <si>
    <t>a. Flue gas temperature (F)</t>
  </si>
  <si>
    <t xml:space="preserve">c. Combustion air temperature (F) </t>
  </si>
  <si>
    <t xml:space="preserve">d. Excess air (%) </t>
  </si>
  <si>
    <t xml:space="preserve">e. Available Heat to Process (%) </t>
  </si>
  <si>
    <t xml:space="preserve">a. Gas savings (%) </t>
  </si>
  <si>
    <t>c. Gas Savings (therms/year)</t>
  </si>
  <si>
    <t>b. Annual Gas Use (therms/year)</t>
  </si>
  <si>
    <t>Verify annual gas use matches Load Balance Program</t>
  </si>
  <si>
    <t>Temperature and % Oxygen Inputs</t>
  </si>
  <si>
    <t>Gas Savings Results</t>
  </si>
  <si>
    <t>Should be equal, except with combustion air preheat</t>
  </si>
  <si>
    <t>Enter percent as whole number (2, not .02)</t>
  </si>
  <si>
    <t>Both columns must be less than flue gas temperature</t>
  </si>
  <si>
    <t>Losses other than flue gas losses are included in available heat</t>
  </si>
  <si>
    <t>Percent of theoretical air</t>
  </si>
  <si>
    <t>Baseline</t>
  </si>
  <si>
    <t>Measure</t>
  </si>
  <si>
    <t>Equipment Load and Annual Use Inputs</t>
  </si>
  <si>
    <t>a. Input Rating (MBtuh)</t>
  </si>
  <si>
    <t>b. Operating Time (hrs/yr)</t>
  </si>
  <si>
    <t>d. Equivalent Full Load Hours (hrs/yr)</t>
  </si>
  <si>
    <r>
      <t>b. Oxygen (O</t>
    </r>
    <r>
      <rPr>
        <vertAlign val="subscript"/>
        <sz val="10"/>
        <color indexed="8"/>
        <rFont val="Arial"/>
        <family val="2"/>
      </rPr>
      <t>2</t>
    </r>
    <r>
      <rPr>
        <sz val="10"/>
        <color indexed="8"/>
        <rFont val="Arial"/>
        <family val="2"/>
      </rPr>
      <t>) in flue gas (%, dry)</t>
    </r>
  </si>
  <si>
    <t>Excess Air Calculation Tool</t>
  </si>
  <si>
    <t>User Inputs</t>
  </si>
  <si>
    <t>Input Rating (MBtuh)</t>
  </si>
  <si>
    <t>Operating Time (hours/year)</t>
  </si>
  <si>
    <t>Load Factor</t>
  </si>
  <si>
    <t>Temperature of flue gases (F)</t>
  </si>
  <si>
    <t>% Oxygen in flue gases</t>
  </si>
  <si>
    <t>Combustion air temperature (F)</t>
  </si>
  <si>
    <t>Furnace draft (neg. pressure) inch. W.C.</t>
  </si>
  <si>
    <t>Fuel wasted therms per year</t>
  </si>
  <si>
    <t>Assumptions</t>
  </si>
  <si>
    <t xml:space="preserve">** Assume 1 scf flue gas produced for 95 Btu heat release by combustion </t>
  </si>
  <si>
    <t>Air infiltration from openings vs. negative pressure or draft</t>
  </si>
  <si>
    <t>x=inch w.c. negative pressure</t>
  </si>
  <si>
    <t xml:space="preserve">f (x) = </t>
  </si>
  <si>
    <t>air flow cfh/sq. inch</t>
  </si>
  <si>
    <t xml:space="preserve"> +    7089.3291893336955 * x</t>
  </si>
  <si>
    <t xml:space="preserve"> -     38037.10178718846 * x^2</t>
  </si>
  <si>
    <t xml:space="preserve"> +    108378.65837904214 * x^3</t>
  </si>
  <si>
    <t xml:space="preserve"> -    111188.81118930216 * x^4</t>
  </si>
  <si>
    <t>Model Inputs</t>
  </si>
  <si>
    <t>in. w.c.</t>
  </si>
  <si>
    <t>flow cfh/in^2</t>
  </si>
  <si>
    <t>Coef.</t>
  </si>
  <si>
    <t>x</t>
  </si>
  <si>
    <t>y</t>
  </si>
  <si>
    <t>Co</t>
  </si>
  <si>
    <t>C1</t>
  </si>
  <si>
    <t>C2</t>
  </si>
  <si>
    <t>x^2</t>
  </si>
  <si>
    <t>C3</t>
  </si>
  <si>
    <t>x^3</t>
  </si>
  <si>
    <t>C4</t>
  </si>
  <si>
    <t>x^4</t>
  </si>
  <si>
    <t>Avg. Heat</t>
  </si>
  <si>
    <t>Excess air correction</t>
  </si>
  <si>
    <t>Preheated air correction</t>
  </si>
  <si>
    <t>Excess Air vs. % O2</t>
  </si>
  <si>
    <t>Heat reqd. (net) to heat air Btu/hr.</t>
  </si>
  <si>
    <t xml:space="preserve">Excess Air </t>
  </si>
  <si>
    <t>%</t>
  </si>
  <si>
    <t>Avg. Heat 1</t>
  </si>
  <si>
    <t>Excess Air Correction</t>
  </si>
  <si>
    <t xml:space="preserve">Preheat Air Correction </t>
  </si>
  <si>
    <t>Available Heat</t>
  </si>
  <si>
    <t>% of gross Heating Value</t>
  </si>
  <si>
    <t>Gross heat reqd. btu/hr</t>
  </si>
  <si>
    <t>Stack Draft Inputs</t>
  </si>
  <si>
    <t>Stack Height (openings to top) (ft)</t>
  </si>
  <si>
    <t>Stack Inside Diameter (ft)</t>
  </si>
  <si>
    <t>Total Opening Area (sq. in.)</t>
  </si>
  <si>
    <t xml:space="preserve">Effective draft inch. W.c. </t>
  </si>
  <si>
    <t>Density of flue gases lb./ft^3</t>
  </si>
  <si>
    <t>CFS of flue gas at temp. t (F) **</t>
  </si>
  <si>
    <t>Frictional loss in stack (inch of w.c.)</t>
  </si>
  <si>
    <t xml:space="preserve">Theoretical draft inch w.c. </t>
  </si>
  <si>
    <t>Final Results</t>
  </si>
  <si>
    <t>Stack Draft Air Infiltration Calculation Tool</t>
  </si>
  <si>
    <t>Induced Draft Air Infiltration Calculation Tool</t>
  </si>
  <si>
    <t>2.  Operating time (hrs/yr)</t>
  </si>
  <si>
    <t>3.  Load Factor</t>
  </si>
  <si>
    <t>Efficiency Measure</t>
  </si>
  <si>
    <r>
      <t xml:space="preserve">1.  Connected </t>
    </r>
    <r>
      <rPr>
        <sz val="10"/>
        <rFont val="Arial"/>
        <family val="2"/>
      </rPr>
      <t>load</t>
    </r>
    <r>
      <rPr>
        <sz val="10"/>
        <color indexed="8"/>
        <rFont val="Arial"/>
        <family val="2"/>
      </rPr>
      <t xml:space="preserve"> (MBtuh)</t>
    </r>
  </si>
  <si>
    <t>4.  Equivalent full load hours (hrs/yr)</t>
  </si>
  <si>
    <t>5.  Annual Gas Use (therms/yr)</t>
  </si>
  <si>
    <t>6.  Flue gas temperature (F)</t>
  </si>
  <si>
    <r>
      <t>7.  Oxygen (O</t>
    </r>
    <r>
      <rPr>
        <vertAlign val="subscript"/>
        <sz val="10"/>
        <color indexed="8"/>
        <rFont val="Arial"/>
        <family val="0"/>
      </rPr>
      <t>2</t>
    </r>
    <r>
      <rPr>
        <sz val="10"/>
        <color indexed="8"/>
        <rFont val="Arial"/>
        <family val="0"/>
      </rPr>
      <t>) in flue gas (%, dry)</t>
    </r>
  </si>
  <si>
    <t xml:space="preserve">8.  Combustion air temperature (F) </t>
  </si>
  <si>
    <t>Gas Savings from Reducing Air Infiltration on Induced Draft Combustion Systems</t>
  </si>
  <si>
    <t>Gas Savings from Reducing Air Infiltration on Stack Draft Combustion Systems</t>
  </si>
  <si>
    <t>Opening size - area sq.in.</t>
  </si>
  <si>
    <t>Annual gas use (therms/year)</t>
  </si>
  <si>
    <t>Annual gas savings (%)</t>
  </si>
  <si>
    <t>Annual gas savings (therms/year)</t>
  </si>
  <si>
    <t>sqrt(x)</t>
  </si>
  <si>
    <t>Air infiltration SCFH</t>
  </si>
  <si>
    <t>check</t>
  </si>
  <si>
    <t>59F air</t>
  </si>
  <si>
    <t>60F air temp, 0.0765 lb/scf flue gas</t>
  </si>
  <si>
    <t>Instructions for</t>
  </si>
  <si>
    <t>Excess Air Calculator</t>
  </si>
  <si>
    <t>Equipment input rating provided by the customer</t>
  </si>
  <si>
    <t>1.     Connected load (MBtuh)</t>
  </si>
  <si>
    <t>2.     Equipment operating time (hours/year)</t>
  </si>
  <si>
    <t>3.     Equipment load factor (equivalent full load hrs/yr as a percent of operating time)</t>
  </si>
  <si>
    <t>4.     Equivalent full load hours (hours/year)</t>
  </si>
  <si>
    <t>5.     Annual gas use (therms/year)</t>
  </si>
  <si>
    <t xml:space="preserve">9.  Excess air (%) </t>
  </si>
  <si>
    <t xml:space="preserve">11.  Gas savings (%) </t>
  </si>
  <si>
    <r>
      <t>6.     Flue gas temperature (</t>
    </r>
    <r>
      <rPr>
        <sz val="10"/>
        <rFont val="Symbol"/>
        <family val="1"/>
      </rPr>
      <t>°</t>
    </r>
    <r>
      <rPr>
        <sz val="10"/>
        <rFont val="Arial"/>
        <family val="0"/>
      </rPr>
      <t>F)</t>
    </r>
  </si>
  <si>
    <t>7.     Flue gas oxygen concentration (% by volume O2, dry basis)</t>
  </si>
  <si>
    <t>Temperatures and oxygen concentration provided by customer measurements</t>
  </si>
  <si>
    <t>9.     Excess air (% of theoretical air)</t>
  </si>
  <si>
    <r>
      <t>8.     Combustion air temperature (</t>
    </r>
    <r>
      <rPr>
        <sz val="10"/>
        <rFont val="Symbol"/>
        <family val="1"/>
      </rPr>
      <t>°</t>
    </r>
    <r>
      <rPr>
        <sz val="10"/>
        <rFont val="Arial"/>
        <family val="0"/>
      </rPr>
      <t xml:space="preserve">F) </t>
    </r>
  </si>
  <si>
    <t>For excess air efficiency measures, the combustion air temperature remains unchanged.</t>
  </si>
  <si>
    <t>10.     Annual gas use (therms/year)</t>
  </si>
  <si>
    <t>Baseline is same value as above</t>
  </si>
  <si>
    <t>11.     Gas savings (% of baseline)</t>
  </si>
  <si>
    <t>Gas savings expressed as a percent of baseline gas use</t>
  </si>
  <si>
    <t>12.     Gas savings (therms/year)</t>
  </si>
  <si>
    <t>Difference between annual gas use for baseline and efficiency measure</t>
  </si>
  <si>
    <t>Gas Savings for Power Burner or Combustion Air Damper</t>
  </si>
  <si>
    <t>Obtain the vacuum pressure inside the combustion chamber, measured in inches of water column (IWC)</t>
  </si>
  <si>
    <t>10.  Annual gas use (therms/yr)</t>
  </si>
  <si>
    <t>12.  Gas savings (therms/year)</t>
  </si>
  <si>
    <t>Measure the stack height from the average height of the openings into the combustion chamber to the top of the stack</t>
  </si>
  <si>
    <r>
      <t>Determine the average inside diameter of the stack.  If the stack is not circular, use the hydraulic diameter = square root of (area in square feet times 4/</t>
    </r>
    <r>
      <rPr>
        <sz val="10"/>
        <rFont val="Symbol"/>
        <family val="1"/>
      </rPr>
      <t>p</t>
    </r>
    <r>
      <rPr>
        <sz val="10"/>
        <rFont val="Arial"/>
        <family val="0"/>
      </rPr>
      <t>).</t>
    </r>
  </si>
  <si>
    <t>Total amount of air flowing into the combustion chamber before and after blocking the openings, expressed in standard cubic feet per hour</t>
  </si>
  <si>
    <t>Baseline is same value as above, efficiency measure is new value</t>
  </si>
  <si>
    <t>Approach for Excess Air Reduction (select one)</t>
  </si>
  <si>
    <t>Repair furnace leaks for induced draft system</t>
  </si>
  <si>
    <t>Repair furnace leaks for stack draft system</t>
  </si>
  <si>
    <t>Excess Air</t>
  </si>
  <si>
    <t>Calculate Gas Savings for Power Burner or Combustion Air Damper</t>
  </si>
  <si>
    <t>Inputs (cells with blue font)</t>
  </si>
  <si>
    <t>Customer gas rate</t>
  </si>
  <si>
    <t>Customer cost savings resulting from annual gas savings</t>
  </si>
  <si>
    <t>Cost Savings from Power Burner or Combustion Air Damper</t>
  </si>
  <si>
    <t>Source:  Calculation methodology provided by Arvind Thekdi, E3M, Inc.</t>
  </si>
  <si>
    <t>Gas Savings Calculation</t>
  </si>
  <si>
    <t>13.  Gas rate ($/therm)</t>
  </si>
  <si>
    <t>14.  Annual cost savings ($/year)</t>
  </si>
  <si>
    <t>15.  Induced draft (inches of W.C. of vacuum)</t>
  </si>
  <si>
    <t>16.  Total opening area (square inches)</t>
  </si>
  <si>
    <t>17.  Air infiltration (scfh)</t>
  </si>
  <si>
    <t>18.  Annual gas use (therms/yr)</t>
  </si>
  <si>
    <t xml:space="preserve">19.  Gas savings (%) </t>
  </si>
  <si>
    <t>20.  Gas savings (therms/year)</t>
  </si>
  <si>
    <t>21.  Gas rate ($/therm)</t>
  </si>
  <si>
    <t>22.  Annual cost savings ($/year)</t>
  </si>
  <si>
    <t>23.  Stack height (from openings to top) (ft)</t>
  </si>
  <si>
    <t>24.  Stack inside diameter (ft)</t>
  </si>
  <si>
    <t>25.  Total opening area (square inches)</t>
  </si>
  <si>
    <t>26.  Air infiltration (scfh)</t>
  </si>
  <si>
    <t>27.  Annual gas use (therms/yr)</t>
  </si>
  <si>
    <t xml:space="preserve">28.  Gas savings (%) </t>
  </si>
  <si>
    <t>29.  Gas savings (therms/year)</t>
  </si>
  <si>
    <t>30.  Gas rate ($/therm)</t>
  </si>
  <si>
    <t>31.  Annual cost savings ($/year)</t>
  </si>
  <si>
    <t>Select Approach for Excess Air Reduction</t>
  </si>
  <si>
    <t>Selecting the appropriate button hides the inputs and results for the other approaches</t>
  </si>
  <si>
    <t>Cost Savings from Power Burner or Combustion Air Damper (optional)</t>
  </si>
  <si>
    <t>Cost Savings from Reducing Air Infiltration on Stack Draft Systems</t>
  </si>
  <si>
    <t>Cost Savings from Reducing Air Infiltration on Stack Draft Systems (optional)</t>
  </si>
  <si>
    <t>Cost Savings from Reducing Air Infiltration on Induced Draft Systems (optional)</t>
  </si>
  <si>
    <t>Cost Savings from Reducing Air Infiltration on Induced Draft Systems</t>
  </si>
  <si>
    <t>Equipment Load and Annual Use Inputs (for all approaches)</t>
  </si>
  <si>
    <t>Temperature and % Oxygen Inputs (for all approaches)</t>
  </si>
  <si>
    <t>13.     Gas rate ($/therm)</t>
  </si>
  <si>
    <t>14.     Annual cost savings ($/year)</t>
  </si>
  <si>
    <t>15.     Induced draft (inches of W.C. of vacuum)</t>
  </si>
  <si>
    <t>16.     Total opening area (square inches)</t>
  </si>
  <si>
    <t>17.     Air infiltration (scfh)</t>
  </si>
  <si>
    <t>18.     Annual gas use (therms/year)</t>
  </si>
  <si>
    <t>19.     Gas savings (% of baseline)</t>
  </si>
  <si>
    <t>20.     Gas savings (therms/year)</t>
  </si>
  <si>
    <t>21.     Gas rate ($/therm)</t>
  </si>
  <si>
    <t>22.     Annual cost savings ($/year)</t>
  </si>
  <si>
    <t>23.     Stack height (from openings to top) (ft)</t>
  </si>
  <si>
    <t>24.     Stack inside diameter (ft)</t>
  </si>
  <si>
    <t>25.     Total opening area (square inches)</t>
  </si>
  <si>
    <t>26.     Air infiltration (scfh)</t>
  </si>
  <si>
    <t>27.     Annual gas use (therms/year)</t>
  </si>
  <si>
    <t>28.     Gas savings (% of baseline)</t>
  </si>
  <si>
    <t>29.     Gas savings (therms/year)</t>
  </si>
  <si>
    <t>30.     Gas rate ($/therm)</t>
  </si>
  <si>
    <t>31.     Annual cost savings ($/year)</t>
  </si>
  <si>
    <t xml:space="preserve">Work with customer to measure the size of every opening into the vacuum in the baseline combustion chamber, calculate the area of each, and add them together.  If there are any openings that cannot be blocked, re-measure their size after blocking the openings, calculate the area of each, and add them together for the entry in the efficiency measure column.    </t>
  </si>
  <si>
    <t>EFLH = OperatingTime * LoadFactor</t>
  </si>
  <si>
    <t>BaselineGasUse = ConnectedLoad * EFLH / 100</t>
  </si>
  <si>
    <t>ExcessAir% = ftn(Oxygen %)</t>
  </si>
  <si>
    <t>MeasureGasUse = ftn(BaselineGasUse, FlueGasTemp, Oxygen%, and CombAirTemp)</t>
  </si>
  <si>
    <t>GasSavings% = ftn(FlueGasTemp, Oxygen%, and CombAirTemp)</t>
  </si>
  <si>
    <t>AnnualGasSavings = BaselineGasUse - MeasureGasUse</t>
  </si>
  <si>
    <t>CostSavings = GasSavings * GasRate</t>
  </si>
  <si>
    <t>AirFlow = ftn(OpenArea, Draft)</t>
  </si>
  <si>
    <t>MeasureGasUse = BaselineGasUse - AirFlow * OperatingTime * (Heat Required to Compensate for AirFlow)</t>
  </si>
  <si>
    <t>GasSavings% = 1 - MeasureGasUse / BaselineGasUse</t>
  </si>
  <si>
    <r>
      <t>Power Burner or Combustion Air Damper</t>
    </r>
    <r>
      <rPr>
        <sz val="10"/>
        <rFont val="Arial"/>
        <family val="0"/>
      </rPr>
      <t xml:space="preserve"> – This measure is to reduce the combustion air flow at the burner.</t>
    </r>
  </si>
  <si>
    <r>
      <t>Stack Draft Leaks</t>
    </r>
    <r>
      <rPr>
        <sz val="10"/>
        <rFont val="Arial"/>
        <family val="0"/>
      </rPr>
      <t xml:space="preserve"> – This measure is similar to the induced draft case, except that the vacuum is caused by the draft effect created by the stack height.</t>
    </r>
  </si>
  <si>
    <r>
      <t>Induced Draft Leaks</t>
    </r>
    <r>
      <rPr>
        <sz val="10"/>
        <rFont val="Arial"/>
        <family val="0"/>
      </rPr>
      <t xml:space="preserve"> – This measure involves blocking leaks in the process heating system where ambient air is drawn into the system by an induced draft fan. </t>
    </r>
  </si>
  <si>
    <t>Some of the user inputs are common to all measures.</t>
  </si>
  <si>
    <t>Example of Savings for Power Burner or Combustion Air Damper</t>
  </si>
  <si>
    <t>Example of Savings from Reducing Air Infiltration on Induced Draft Systems</t>
  </si>
  <si>
    <t>Example of Savings from Reducing Air Infiltration on Stack Draft Systems</t>
  </si>
  <si>
    <t xml:space="preserve">For combustion air preheat or excess air reduction, the baseline and efficiency measure flue gas temperatures are to be the same.  Generally flue gas temperatures are in the range 300-3,000 F.  For flue gas temperatures between 200 and 300 F, the results calculated here are less accurate, but within 5%.  </t>
  </si>
  <si>
    <t>Disclaimer</t>
  </si>
  <si>
    <t xml:space="preserve">The Gas Company has made reasonable efforts to ensure all information is correct; however, neither The Gas Company's publication nor verbal representations thereof constitutes any statement, recommendation, endorsement, approval or guaranty (either express or implied) of any product or service.  Moreover, The Gas Company shall not be responsible for errors or omissions in this publication, for claims or damages relating to the use thereof, even if it has been advised of the possibility of such damages. </t>
  </si>
  <si>
    <r>
      <t>Disclaimer</t>
    </r>
    <r>
      <rPr>
        <sz val="8"/>
        <rFont val="Arial"/>
        <family val="0"/>
      </rPr>
      <t xml:space="preserve">
The Gas Company has made reasonable efforts to ensure all information is correct; however, neither The Gas Company's publication nor verbal representations thereof constitutes any statement, recommendation, endorsement, approval or guaranty (either express or implied) of any product or service.  Moreover, The Gas Company shall not be responsible for errors or omissions in this publication, for claims or damages relating to the use thereof, even if it has been advised of the possibility of such damages. </t>
    </r>
  </si>
  <si>
    <t>To keep a record of these results, Print the Calculator Page</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</si>
</sst>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_(&quot;$&quot;* #,##0_);_(&quot;$&quot;* \(#,##0\);_(&quot;$&quot;* &quot;-&quot;??_);_(@_)"/>
    <numFmt numFmtId="168" formatCode="#,##0.0"/>
    <numFmt numFmtId="169" formatCode="0.00000000"/>
    <numFmt numFmtId="170" formatCode="0.000000000"/>
    <numFmt numFmtId="171" formatCode="0.0000000"/>
    <numFmt numFmtId="172" formatCode="0.000000"/>
    <numFmt numFmtId="173" formatCode="0.00000"/>
    <numFmt numFmtId="174" formatCode="0.0000"/>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_);_(* \(#,##0\);_(* &quot;-&quot;??_);_(@_)"/>
    <numFmt numFmtId="181" formatCode="_(&quot;$&quot;* #,##0.0_);_(&quot;$&quot;* \(#,##0.0\);_(&quot;$&quot;* &quot;-&quot;??_);_(@_)"/>
    <numFmt numFmtId="182" formatCode="_(* #,##0.000_);_(* \(#,##0.000\);_(* &quot;-&quot;??_);_(@_)"/>
    <numFmt numFmtId="183" formatCode="_(* #,##0.0000_);_(* \(#,##0.0000\);_(* &quot;-&quot;??_);_(@_)"/>
    <numFmt numFmtId="184" formatCode="_(&quot;$&quot;* #,##0.000_);_(&quot;$&quot;* \(#,##0.000\);_(&quot;$&quot;* &quot;-&quot;??_);_(@_)"/>
    <numFmt numFmtId="185" formatCode="_(&quot;$&quot;* #,##0.0000_);_(&quot;$&quot;* \(#,##0.0000\);_(&quot;$&quot;* &quot;-&quot;??_);_(@_)"/>
    <numFmt numFmtId="186" formatCode="&quot;$&quot;#,##0.0_);\(&quot;$&quot;#,##0.0\)"/>
    <numFmt numFmtId="187" formatCode="0.000%"/>
    <numFmt numFmtId="188" formatCode="&quot;$&quot;#,##0.00"/>
    <numFmt numFmtId="189" formatCode="&quot;$&quot;#,##0"/>
    <numFmt numFmtId="190" formatCode="#,##0.000"/>
    <numFmt numFmtId="191" formatCode="#,##0.0000"/>
    <numFmt numFmtId="192" formatCode="#,##0.00000"/>
    <numFmt numFmtId="193" formatCode="&quot;$&quot;#,##0.000"/>
  </numFmts>
  <fonts count="24">
    <font>
      <sz val="10"/>
      <name val="Arial"/>
      <family val="0"/>
    </font>
    <font>
      <sz val="24"/>
      <name val="Arial"/>
      <family val="0"/>
    </font>
    <font>
      <sz val="10"/>
      <color indexed="12"/>
      <name val="Arial"/>
      <family val="0"/>
    </font>
    <font>
      <b/>
      <sz val="10"/>
      <name val="Arial"/>
      <family val="2"/>
    </font>
    <font>
      <u val="single"/>
      <sz val="7.5"/>
      <color indexed="12"/>
      <name val="Arial"/>
      <family val="0"/>
    </font>
    <font>
      <u val="single"/>
      <sz val="7.5"/>
      <color indexed="36"/>
      <name val="Arial"/>
      <family val="0"/>
    </font>
    <font>
      <b/>
      <sz val="28"/>
      <name val="Arial"/>
      <family val="2"/>
    </font>
    <font>
      <i/>
      <sz val="10"/>
      <name val="Arial"/>
      <family val="0"/>
    </font>
    <font>
      <sz val="10"/>
      <name val="Symbol"/>
      <family val="1"/>
    </font>
    <font>
      <sz val="10"/>
      <color indexed="8"/>
      <name val="Arial"/>
      <family val="0"/>
    </font>
    <font>
      <vertAlign val="subscript"/>
      <sz val="10"/>
      <color indexed="8"/>
      <name val="Arial"/>
      <family val="0"/>
    </font>
    <font>
      <b/>
      <sz val="10"/>
      <color indexed="8"/>
      <name val="Arial"/>
      <family val="2"/>
    </font>
    <font>
      <sz val="10"/>
      <color indexed="9"/>
      <name val="Arial"/>
      <family val="2"/>
    </font>
    <font>
      <sz val="10"/>
      <color indexed="10"/>
      <name val="Arial"/>
      <family val="2"/>
    </font>
    <font>
      <b/>
      <sz val="12"/>
      <color indexed="9"/>
      <name val="Arial"/>
      <family val="0"/>
    </font>
    <font>
      <sz val="12"/>
      <name val="Arial"/>
      <family val="0"/>
    </font>
    <font>
      <b/>
      <sz val="12"/>
      <name val="Arial"/>
      <family val="0"/>
    </font>
    <font>
      <sz val="12"/>
      <color indexed="12"/>
      <name val="Arial"/>
      <family val="0"/>
    </font>
    <font>
      <sz val="8"/>
      <name val="Tahoma"/>
      <family val="2"/>
    </font>
    <font>
      <b/>
      <sz val="24"/>
      <name val="Arial"/>
      <family val="2"/>
    </font>
    <font>
      <i/>
      <sz val="12"/>
      <name val="Arial"/>
      <family val="2"/>
    </font>
    <font>
      <b/>
      <sz val="8"/>
      <name val="Tahoma"/>
      <family val="0"/>
    </font>
    <font>
      <sz val="8"/>
      <name val="Arial"/>
      <family val="0"/>
    </font>
    <font>
      <b/>
      <sz val="8"/>
      <name val="Arial"/>
      <family val="2"/>
    </font>
  </fonts>
  <fills count="6">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18"/>
        <bgColor indexed="64"/>
      </patternFill>
    </fill>
    <fill>
      <patternFill patternType="solid">
        <fgColor indexed="10"/>
        <bgColor indexed="64"/>
      </patternFill>
    </fill>
  </fills>
  <borders count="16">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58">
    <xf numFmtId="0" fontId="0" fillId="0" borderId="0" xfId="0" applyAlignment="1">
      <alignment/>
    </xf>
    <xf numFmtId="0" fontId="1"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2" fillId="0" borderId="0" xfId="0" applyFont="1" applyAlignment="1">
      <alignment vertical="top"/>
    </xf>
    <xf numFmtId="0" fontId="2" fillId="0" borderId="0" xfId="0" applyFont="1" applyFill="1" applyAlignment="1">
      <alignment vertical="top"/>
    </xf>
    <xf numFmtId="0" fontId="1" fillId="0" borderId="0" xfId="0" applyFont="1" applyAlignment="1">
      <alignment horizontal="center" vertical="top"/>
    </xf>
    <xf numFmtId="0" fontId="6" fillId="0" borderId="0" xfId="0" applyFont="1" applyAlignment="1">
      <alignment horizontal="left" vertical="top" wrapText="1"/>
    </xf>
    <xf numFmtId="0" fontId="0" fillId="0" borderId="0" xfId="0" applyFont="1" applyAlignment="1">
      <alignment horizontal="center"/>
    </xf>
    <xf numFmtId="0" fontId="0" fillId="0" borderId="0" xfId="0" applyFont="1" applyAlignment="1">
      <alignment horizontal="center" vertical="top"/>
    </xf>
    <xf numFmtId="0" fontId="0" fillId="0" borderId="1" xfId="0" applyFont="1" applyBorder="1" applyAlignment="1">
      <alignment horizontal="left" vertical="top"/>
    </xf>
    <xf numFmtId="0" fontId="0" fillId="0" borderId="1" xfId="0" applyFont="1" applyBorder="1" applyAlignment="1">
      <alignment horizontal="center" vertical="top"/>
    </xf>
    <xf numFmtId="0" fontId="0" fillId="0" borderId="1" xfId="0" applyFont="1" applyBorder="1" applyAlignment="1">
      <alignment horizontal="center"/>
    </xf>
    <xf numFmtId="0" fontId="0" fillId="0" borderId="0" xfId="0" applyFont="1" applyBorder="1" applyAlignment="1">
      <alignment horizontal="left" vertical="top"/>
    </xf>
    <xf numFmtId="0" fontId="0" fillId="0" borderId="0" xfId="0" applyFont="1" applyAlignment="1">
      <alignment horizontal="left" vertical="top"/>
    </xf>
    <xf numFmtId="0" fontId="0" fillId="0" borderId="0" xfId="0" applyFont="1" applyAlignment="1">
      <alignment vertical="top"/>
    </xf>
    <xf numFmtId="0" fontId="0" fillId="0" borderId="0" xfId="0" applyFont="1" applyAlignment="1">
      <alignment/>
    </xf>
    <xf numFmtId="0" fontId="0" fillId="0" borderId="0" xfId="0" applyFont="1" applyAlignment="1">
      <alignment vertical="top" wrapText="1"/>
    </xf>
    <xf numFmtId="0" fontId="7" fillId="0" borderId="0" xfId="0" applyFont="1" applyAlignment="1">
      <alignment horizontal="left"/>
    </xf>
    <xf numFmtId="0" fontId="0" fillId="0" borderId="0" xfId="0" applyFont="1" applyAlignment="1">
      <alignment vertical="top"/>
    </xf>
    <xf numFmtId="0" fontId="0" fillId="0" borderId="0" xfId="0" applyFont="1" applyAlignment="1">
      <alignment/>
    </xf>
    <xf numFmtId="0" fontId="0" fillId="0" borderId="0" xfId="0" applyFont="1" applyAlignment="1">
      <alignment horizontal="left"/>
    </xf>
    <xf numFmtId="0" fontId="0" fillId="0" borderId="0" xfId="0" applyFont="1" applyAlignment="1">
      <alignment vertical="top" wrapText="1"/>
    </xf>
    <xf numFmtId="0" fontId="0" fillId="0" borderId="0" xfId="0" applyFont="1" applyAlignment="1">
      <alignment horizontal="left" vertical="top"/>
    </xf>
    <xf numFmtId="0" fontId="0" fillId="0" borderId="0" xfId="0" applyFont="1" applyAlignment="1">
      <alignment wrapText="1"/>
    </xf>
    <xf numFmtId="0" fontId="0" fillId="0" borderId="0" xfId="0" applyNumberFormat="1" applyFont="1" applyAlignment="1">
      <alignment wrapText="1"/>
    </xf>
    <xf numFmtId="0" fontId="0" fillId="0" borderId="0" xfId="0" applyFont="1" applyAlignment="1">
      <alignment horizontal="left" wrapText="1"/>
    </xf>
    <xf numFmtId="0" fontId="3" fillId="0" borderId="0" xfId="0" applyFont="1" applyAlignment="1">
      <alignment horizontal="left"/>
    </xf>
    <xf numFmtId="0" fontId="3" fillId="0" borderId="0" xfId="0" applyFont="1" applyAlignment="1">
      <alignment/>
    </xf>
    <xf numFmtId="0" fontId="0" fillId="0" borderId="0" xfId="0" applyFont="1" applyAlignment="1">
      <alignment horizontal="left" vertical="center"/>
    </xf>
    <xf numFmtId="0" fontId="3" fillId="0" borderId="0" xfId="0" applyFont="1" applyFill="1" applyAlignment="1" applyProtection="1">
      <alignment vertical="top"/>
      <protection hidden="1"/>
    </xf>
    <xf numFmtId="0" fontId="0" fillId="0" borderId="0" xfId="0" applyFont="1" applyAlignment="1">
      <alignment vertical="top"/>
    </xf>
    <xf numFmtId="0" fontId="0" fillId="0" borderId="0" xfId="0" applyFont="1" applyAlignment="1">
      <alignment vertical="center"/>
    </xf>
    <xf numFmtId="0" fontId="2"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Alignment="1">
      <alignment vertical="center"/>
    </xf>
    <xf numFmtId="0" fontId="9" fillId="0" borderId="0" xfId="0" applyFont="1" applyFill="1" applyBorder="1" applyAlignment="1">
      <alignment vertical="top"/>
    </xf>
    <xf numFmtId="0" fontId="9" fillId="0" borderId="0" xfId="0" applyFont="1" applyFill="1" applyBorder="1" applyAlignment="1">
      <alignment horizontal="left" vertical="center"/>
    </xf>
    <xf numFmtId="0" fontId="11" fillId="0" borderId="0" xfId="0" applyFont="1" applyFill="1" applyBorder="1" applyAlignment="1" applyProtection="1">
      <alignment vertical="top"/>
      <protection hidden="1"/>
    </xf>
    <xf numFmtId="0" fontId="9" fillId="0" borderId="0" xfId="0" applyFont="1" applyFill="1" applyBorder="1" applyAlignment="1">
      <alignment horizontal="left" vertical="top"/>
    </xf>
    <xf numFmtId="3" fontId="11"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3" fontId="9"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3" fontId="9" fillId="0" borderId="0" xfId="0" applyNumberFormat="1" applyFont="1" applyFill="1" applyBorder="1" applyAlignment="1" applyProtection="1">
      <alignment horizontal="center" vertical="center" wrapText="1" shrinkToFit="1"/>
      <protection locked="0"/>
    </xf>
    <xf numFmtId="0" fontId="9" fillId="0" borderId="0" xfId="0" applyFont="1" applyFill="1" applyBorder="1" applyAlignment="1">
      <alignment vertical="center" wrapText="1" shrinkToFit="1"/>
    </xf>
    <xf numFmtId="3" fontId="9" fillId="0" borderId="0" xfId="0" applyNumberFormat="1" applyFont="1" applyFill="1" applyBorder="1" applyAlignment="1" applyProtection="1">
      <alignment horizontal="center" vertical="center" wrapText="1"/>
      <protection locked="0"/>
    </xf>
    <xf numFmtId="9" fontId="9" fillId="0" borderId="0" xfId="0" applyNumberFormat="1" applyFont="1" applyFill="1" applyBorder="1" applyAlignment="1" applyProtection="1">
      <alignment horizontal="center" vertical="center" wrapText="1"/>
      <protection locked="0"/>
    </xf>
    <xf numFmtId="10" fontId="9" fillId="0" borderId="0" xfId="0" applyNumberFormat="1" applyFont="1" applyFill="1" applyBorder="1" applyAlignment="1" applyProtection="1">
      <alignment horizontal="center" vertical="center" wrapText="1"/>
      <protection hidden="1"/>
    </xf>
    <xf numFmtId="3" fontId="9" fillId="0" borderId="0" xfId="0" applyNumberFormat="1" applyFont="1" applyFill="1" applyBorder="1" applyAlignment="1" applyProtection="1">
      <alignment horizontal="center" vertical="center" wrapText="1"/>
      <protection hidden="1"/>
    </xf>
    <xf numFmtId="0" fontId="9" fillId="0" borderId="0" xfId="0" applyFont="1" applyFill="1" applyBorder="1" applyAlignment="1">
      <alignment vertical="center"/>
    </xf>
    <xf numFmtId="0" fontId="0" fillId="0" borderId="0" xfId="0" applyFill="1" applyBorder="1" applyAlignment="1">
      <alignment/>
    </xf>
    <xf numFmtId="0" fontId="3" fillId="0" borderId="0" xfId="0" applyFont="1" applyFill="1" applyBorder="1" applyAlignment="1">
      <alignment horizontal="right"/>
    </xf>
    <xf numFmtId="0" fontId="0" fillId="0" borderId="0" xfId="0" applyFont="1" applyFill="1" applyBorder="1" applyAlignment="1">
      <alignment/>
    </xf>
    <xf numFmtId="0" fontId="11" fillId="0" borderId="0" xfId="0" applyFont="1" applyFill="1" applyBorder="1" applyAlignment="1">
      <alignment vertical="center"/>
    </xf>
    <xf numFmtId="0" fontId="9" fillId="0" borderId="0" xfId="0" applyFont="1" applyFill="1" applyBorder="1" applyAlignment="1">
      <alignment/>
    </xf>
    <xf numFmtId="3" fontId="9" fillId="0" borderId="0" xfId="15" applyNumberFormat="1" applyFont="1" applyFill="1" applyBorder="1" applyAlignment="1" applyProtection="1">
      <alignment horizontal="center" vertical="center"/>
      <protection hidden="1"/>
    </xf>
    <xf numFmtId="3" fontId="9" fillId="0" borderId="0" xfId="17" applyNumberFormat="1" applyFont="1" applyFill="1" applyBorder="1" applyAlignment="1" applyProtection="1">
      <alignment horizontal="center" vertical="center"/>
      <protection hidden="1"/>
    </xf>
    <xf numFmtId="0" fontId="9" fillId="2" borderId="0" xfId="0" applyFont="1" applyFill="1" applyBorder="1" applyAlignment="1">
      <alignment horizontal="center"/>
    </xf>
    <xf numFmtId="0" fontId="9" fillId="0" borderId="0" xfId="0" applyFont="1" applyFill="1" applyBorder="1" applyAlignment="1">
      <alignment/>
    </xf>
    <xf numFmtId="0" fontId="9" fillId="0" borderId="0" xfId="0" applyFont="1" applyFill="1" applyBorder="1" applyAlignment="1">
      <alignment horizontal="right"/>
    </xf>
    <xf numFmtId="0" fontId="9" fillId="0" borderId="0" xfId="0"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Border="1" applyAlignment="1">
      <alignment horizontal="center" vertical="top" wrapText="1"/>
    </xf>
    <xf numFmtId="39" fontId="9" fillId="0" borderId="0" xfId="15" applyNumberFormat="1" applyFont="1" applyFill="1" applyBorder="1" applyAlignment="1">
      <alignment horizontal="center" vertical="top"/>
    </xf>
    <xf numFmtId="3" fontId="9" fillId="0" borderId="0" xfId="15" applyNumberFormat="1" applyFont="1" applyFill="1" applyBorder="1" applyAlignment="1">
      <alignment horizontal="center" vertical="center"/>
    </xf>
    <xf numFmtId="165" fontId="9" fillId="0" borderId="0" xfId="0" applyNumberFormat="1" applyFont="1" applyFill="1" applyBorder="1" applyAlignment="1">
      <alignment horizontal="center" vertical="top" wrapText="1"/>
    </xf>
    <xf numFmtId="0" fontId="9" fillId="0" borderId="0" xfId="0" applyFont="1" applyFill="1" applyBorder="1" applyAlignment="1">
      <alignment horizontal="left" vertical="top" wrapText="1"/>
    </xf>
    <xf numFmtId="2" fontId="9" fillId="0" borderId="2" xfId="0" applyNumberFormat="1" applyFont="1" applyFill="1" applyBorder="1" applyAlignment="1">
      <alignment horizontal="center" vertical="top" wrapText="1"/>
    </xf>
    <xf numFmtId="2" fontId="9" fillId="0" borderId="3" xfId="0" applyNumberFormat="1" applyFont="1" applyFill="1" applyBorder="1" applyAlignment="1">
      <alignment horizontal="center" vertical="top" wrapText="1"/>
    </xf>
    <xf numFmtId="2" fontId="9" fillId="0" borderId="4" xfId="0" applyNumberFormat="1" applyFont="1" applyFill="1" applyBorder="1" applyAlignment="1">
      <alignment horizontal="center" vertical="top" wrapText="1"/>
    </xf>
    <xf numFmtId="0" fontId="11" fillId="0" borderId="0" xfId="0" applyFont="1" applyFill="1" applyBorder="1" applyAlignment="1">
      <alignment horizontal="right"/>
    </xf>
    <xf numFmtId="0" fontId="9" fillId="0" borderId="0" xfId="0" applyFont="1" applyFill="1" applyBorder="1" applyAlignment="1">
      <alignment horizontal="center" vertical="top" wrapText="1"/>
    </xf>
    <xf numFmtId="164" fontId="9" fillId="0" borderId="0" xfId="21" applyNumberFormat="1" applyFont="1" applyFill="1" applyBorder="1" applyAlignment="1">
      <alignment horizontal="center" vertical="top" wrapText="1"/>
    </xf>
    <xf numFmtId="2" fontId="9" fillId="0" borderId="0" xfId="0" applyNumberFormat="1" applyFont="1" applyFill="1" applyBorder="1" applyAlignment="1">
      <alignment horizontal="center" vertical="top" wrapText="1"/>
    </xf>
    <xf numFmtId="1"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top" wrapText="1"/>
    </xf>
    <xf numFmtId="164" fontId="9" fillId="0" borderId="0" xfId="21" applyNumberFormat="1" applyFont="1" applyFill="1" applyBorder="1" applyAlignment="1">
      <alignment horizontal="center" vertical="top" wrapText="1"/>
    </xf>
    <xf numFmtId="2" fontId="9" fillId="0" borderId="0" xfId="0" applyNumberFormat="1" applyFont="1" applyFill="1" applyBorder="1" applyAlignment="1">
      <alignment horizontal="center" vertical="top" wrapText="1"/>
    </xf>
    <xf numFmtId="165" fontId="9" fillId="0" borderId="0" xfId="0" applyNumberFormat="1" applyFont="1" applyFill="1" applyBorder="1" applyAlignment="1">
      <alignment horizontal="center" vertical="top" wrapText="1"/>
    </xf>
    <xf numFmtId="0" fontId="0" fillId="0" borderId="0" xfId="0" applyFont="1" applyFill="1" applyBorder="1" applyAlignment="1">
      <alignment vertical="top"/>
    </xf>
    <xf numFmtId="0" fontId="0" fillId="0" borderId="0" xfId="0" applyFont="1" applyFill="1" applyBorder="1" applyAlignment="1">
      <alignment horizontal="left" vertical="top"/>
    </xf>
    <xf numFmtId="190" fontId="2" fillId="0" borderId="5" xfId="15" applyNumberFormat="1" applyFont="1" applyFill="1" applyBorder="1" applyAlignment="1" applyProtection="1">
      <alignment horizontal="center" vertical="center"/>
      <protection locked="0"/>
    </xf>
    <xf numFmtId="3" fontId="2" fillId="0" borderId="5" xfId="15" applyNumberFormat="1" applyFont="1" applyFill="1" applyBorder="1" applyAlignment="1" applyProtection="1">
      <alignment horizontal="center" vertical="center"/>
      <protection locked="0"/>
    </xf>
    <xf numFmtId="3" fontId="9" fillId="0" borderId="0" xfId="15" applyNumberFormat="1" applyFont="1" applyFill="1" applyBorder="1" applyAlignment="1" applyProtection="1">
      <alignment horizontal="center" vertical="center"/>
      <protection locked="0"/>
    </xf>
    <xf numFmtId="164" fontId="9" fillId="0" borderId="0" xfId="15" applyNumberFormat="1" applyFont="1" applyFill="1" applyBorder="1" applyAlignment="1" applyProtection="1">
      <alignment horizontal="center" vertical="center"/>
      <protection locked="0"/>
    </xf>
    <xf numFmtId="190" fontId="9" fillId="0" borderId="0" xfId="15" applyNumberFormat="1" applyFont="1" applyFill="1" applyBorder="1" applyAlignment="1" applyProtection="1">
      <alignment horizontal="center" vertical="center"/>
      <protection locked="0"/>
    </xf>
    <xf numFmtId="9" fontId="9" fillId="0" borderId="0" xfId="15" applyNumberFormat="1" applyFont="1" applyFill="1" applyBorder="1" applyAlignment="1" applyProtection="1">
      <alignment horizontal="center" vertical="center"/>
      <protection locked="0"/>
    </xf>
    <xf numFmtId="1" fontId="9" fillId="0" borderId="0" xfId="15" applyNumberFormat="1" applyFont="1" applyFill="1" applyBorder="1" applyAlignment="1" applyProtection="1">
      <alignment horizontal="center" vertical="center"/>
      <protection locked="0"/>
    </xf>
    <xf numFmtId="2" fontId="9" fillId="0" borderId="2" xfId="0" applyNumberFormat="1" applyFont="1" applyFill="1" applyBorder="1" applyAlignment="1">
      <alignment horizontal="center" vertical="top" wrapText="1"/>
    </xf>
    <xf numFmtId="2" fontId="9" fillId="0" borderId="3" xfId="0" applyNumberFormat="1" applyFont="1" applyFill="1" applyBorder="1" applyAlignment="1">
      <alignment horizontal="center" vertical="top" wrapText="1"/>
    </xf>
    <xf numFmtId="2" fontId="9" fillId="0" borderId="4" xfId="0" applyNumberFormat="1" applyFont="1" applyFill="1" applyBorder="1" applyAlignment="1">
      <alignment horizontal="center" vertical="top" wrapText="1"/>
    </xf>
    <xf numFmtId="2" fontId="9" fillId="0" borderId="5" xfId="0" applyNumberFormat="1" applyFont="1" applyFill="1" applyBorder="1" applyAlignment="1">
      <alignment horizontal="center" vertical="top" wrapText="1"/>
    </xf>
    <xf numFmtId="191" fontId="9" fillId="0" borderId="0" xfId="0" applyNumberFormat="1" applyFont="1" applyFill="1" applyBorder="1" applyAlignment="1">
      <alignment horizontal="center" vertical="center"/>
    </xf>
    <xf numFmtId="174" fontId="9" fillId="0" borderId="0" xfId="15" applyNumberFormat="1" applyFont="1" applyFill="1" applyBorder="1" applyAlignment="1" applyProtection="1">
      <alignment horizontal="center" vertical="center"/>
      <protection locked="0"/>
    </xf>
    <xf numFmtId="0" fontId="0" fillId="0" borderId="0" xfId="0" applyFont="1" applyBorder="1" applyAlignment="1">
      <alignment horizontal="center" vertical="top"/>
    </xf>
    <xf numFmtId="0" fontId="0" fillId="0" borderId="0" xfId="0" applyFont="1" applyBorder="1" applyAlignment="1">
      <alignment vertical="top"/>
    </xf>
    <xf numFmtId="2" fontId="0" fillId="0" borderId="0" xfId="0" applyNumberFormat="1" applyFont="1" applyBorder="1" applyAlignment="1">
      <alignment horizontal="center" vertical="top"/>
    </xf>
    <xf numFmtId="174" fontId="0" fillId="0" borderId="0" xfId="0" applyNumberFormat="1" applyFont="1" applyBorder="1" applyAlignment="1">
      <alignment horizontal="center" vertical="top"/>
    </xf>
    <xf numFmtId="3" fontId="11" fillId="0" borderId="0" xfId="0" applyNumberFormat="1" applyFont="1" applyFill="1" applyBorder="1" applyAlignment="1">
      <alignment horizontal="left" vertical="center"/>
    </xf>
    <xf numFmtId="0" fontId="11" fillId="0" borderId="0" xfId="0" applyFont="1" applyFill="1" applyBorder="1" applyAlignment="1">
      <alignment horizontal="left" vertical="center"/>
    </xf>
    <xf numFmtId="0" fontId="6" fillId="0" borderId="0" xfId="0" applyFont="1" applyAlignment="1">
      <alignment vertical="top" wrapText="1"/>
    </xf>
    <xf numFmtId="0" fontId="6" fillId="0" borderId="0" xfId="0" applyFont="1" applyAlignment="1">
      <alignment vertical="top"/>
    </xf>
    <xf numFmtId="0" fontId="9" fillId="0" borderId="6" xfId="0" applyFont="1" applyFill="1" applyBorder="1" applyAlignment="1" applyProtection="1">
      <alignment horizontal="left" vertical="center"/>
      <protection hidden="1"/>
    </xf>
    <xf numFmtId="3" fontId="2" fillId="0" borderId="5" xfId="0" applyNumberFormat="1" applyFont="1" applyFill="1" applyBorder="1" applyAlignment="1" applyProtection="1">
      <alignment horizontal="center" vertical="center" wrapText="1"/>
      <protection locked="0"/>
    </xf>
    <xf numFmtId="0" fontId="0" fillId="0" borderId="0" xfId="0" applyFont="1" applyFill="1" applyBorder="1" applyAlignment="1">
      <alignment horizontal="center"/>
    </xf>
    <xf numFmtId="3" fontId="9" fillId="0" borderId="0" xfId="0" applyNumberFormat="1" applyFont="1" applyFill="1" applyBorder="1" applyAlignment="1">
      <alignment horizontal="center"/>
    </xf>
    <xf numFmtId="164" fontId="9" fillId="0" borderId="0" xfId="0" applyNumberFormat="1" applyFont="1" applyFill="1" applyBorder="1" applyAlignment="1">
      <alignment horizontal="center" vertical="center"/>
    </xf>
    <xf numFmtId="190" fontId="9" fillId="3" borderId="0" xfId="0" applyNumberFormat="1" applyFont="1" applyFill="1" applyBorder="1" applyAlignment="1">
      <alignment horizontal="center"/>
    </xf>
    <xf numFmtId="3" fontId="9" fillId="3" borderId="0" xfId="0" applyNumberFormat="1" applyFont="1" applyFill="1" applyBorder="1" applyAlignment="1">
      <alignment horizontal="center"/>
    </xf>
    <xf numFmtId="3" fontId="0"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3" fontId="11" fillId="0" borderId="0" xfId="0" applyNumberFormat="1" applyFont="1" applyFill="1" applyBorder="1" applyAlignment="1">
      <alignment vertical="center"/>
    </xf>
    <xf numFmtId="9" fontId="9" fillId="3" borderId="0" xfId="0" applyNumberFormat="1" applyFont="1" applyFill="1" applyBorder="1" applyAlignment="1">
      <alignment horizontal="center"/>
    </xf>
    <xf numFmtId="174" fontId="9" fillId="0" borderId="0" xfId="0" applyNumberFormat="1" applyFont="1" applyFill="1" applyBorder="1" applyAlignment="1">
      <alignment horizontal="center"/>
    </xf>
    <xf numFmtId="1" fontId="9" fillId="3" borderId="0" xfId="0" applyNumberFormat="1" applyFont="1" applyFill="1" applyBorder="1" applyAlignment="1">
      <alignment horizontal="center"/>
    </xf>
    <xf numFmtId="165" fontId="9" fillId="0" borderId="0" xfId="15" applyNumberFormat="1" applyFont="1" applyFill="1" applyBorder="1" applyAlignment="1" applyProtection="1">
      <alignment horizontal="center" vertical="center"/>
      <protection locked="0"/>
    </xf>
    <xf numFmtId="165" fontId="9" fillId="3" borderId="0" xfId="0" applyNumberFormat="1" applyFont="1" applyFill="1" applyBorder="1" applyAlignment="1">
      <alignment horizontal="center"/>
    </xf>
    <xf numFmtId="2" fontId="9" fillId="0" borderId="0" xfId="0" applyNumberFormat="1" applyFont="1" applyFill="1" applyBorder="1" applyAlignment="1">
      <alignment horizontal="center"/>
    </xf>
    <xf numFmtId="39" fontId="9" fillId="0" borderId="0" xfId="15" applyNumberFormat="1" applyFont="1" applyFill="1" applyBorder="1" applyAlignment="1">
      <alignment horizontal="right" vertical="top"/>
    </xf>
    <xf numFmtId="0" fontId="17" fillId="0" borderId="0" xfId="0" applyFont="1" applyFill="1" applyAlignment="1">
      <alignment vertical="top"/>
    </xf>
    <xf numFmtId="0" fontId="17" fillId="0" borderId="0" xfId="0" applyFont="1" applyAlignment="1">
      <alignment vertical="top"/>
    </xf>
    <xf numFmtId="0" fontId="2" fillId="0" borderId="0" xfId="0" applyFont="1" applyAlignment="1">
      <alignment vertical="top"/>
    </xf>
    <xf numFmtId="0" fontId="13" fillId="0" borderId="0" xfId="0" applyFont="1" applyFill="1" applyBorder="1" applyAlignment="1">
      <alignment/>
    </xf>
    <xf numFmtId="3" fontId="14" fillId="4" borderId="6" xfId="0" applyNumberFormat="1" applyFont="1" applyFill="1" applyBorder="1" applyAlignment="1" applyProtection="1">
      <alignment horizontal="center" vertical="center" wrapText="1"/>
      <protection/>
    </xf>
    <xf numFmtId="3" fontId="14" fillId="4" borderId="5" xfId="0" applyNumberFormat="1" applyFont="1" applyFill="1" applyBorder="1" applyAlignment="1" applyProtection="1">
      <alignment horizontal="center" vertical="center" wrapText="1"/>
      <protection/>
    </xf>
    <xf numFmtId="0" fontId="19" fillId="0" borderId="0" xfId="0" applyFont="1" applyAlignment="1" applyProtection="1">
      <alignment vertical="top"/>
      <protection hidden="1"/>
    </xf>
    <xf numFmtId="0" fontId="0" fillId="0" borderId="0" xfId="0" applyFill="1" applyAlignment="1">
      <alignment/>
    </xf>
    <xf numFmtId="0" fontId="0" fillId="0" borderId="0" xfId="0" applyFill="1" applyAlignment="1">
      <alignment horizontal="left" vertical="top" wrapText="1"/>
    </xf>
    <xf numFmtId="190" fontId="2" fillId="4" borderId="5" xfId="15" applyNumberFormat="1" applyFont="1" applyFill="1" applyBorder="1" applyAlignment="1" applyProtection="1">
      <alignment horizontal="center" vertical="center"/>
      <protection locked="0"/>
    </xf>
    <xf numFmtId="0" fontId="20" fillId="0" borderId="0" xfId="0" applyFont="1" applyAlignment="1">
      <alignment horizontal="left"/>
    </xf>
    <xf numFmtId="0" fontId="20" fillId="0" borderId="0" xfId="0" applyFont="1" applyFill="1" applyAlignment="1" applyProtection="1">
      <alignment horizontal="left"/>
      <protection/>
    </xf>
    <xf numFmtId="0" fontId="3" fillId="0" borderId="0" xfId="0" applyFont="1" applyFill="1" applyAlignment="1">
      <alignment vertical="top"/>
    </xf>
    <xf numFmtId="0" fontId="7" fillId="0" borderId="0" xfId="0" applyFont="1" applyFill="1" applyAlignment="1" applyProtection="1">
      <alignment wrapText="1"/>
      <protection/>
    </xf>
    <xf numFmtId="0" fontId="3"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horizontal="left" wrapText="1"/>
    </xf>
    <xf numFmtId="0" fontId="0" fillId="0" borderId="0" xfId="0" applyFont="1" applyFill="1" applyAlignment="1">
      <alignment horizontal="left"/>
    </xf>
    <xf numFmtId="0" fontId="0" fillId="0" borderId="7" xfId="0" applyFont="1" applyBorder="1" applyAlignment="1">
      <alignment vertical="top"/>
    </xf>
    <xf numFmtId="0" fontId="0" fillId="0" borderId="8" xfId="0" applyFont="1" applyBorder="1" applyAlignment="1">
      <alignment vertical="top"/>
    </xf>
    <xf numFmtId="0" fontId="0" fillId="0" borderId="8" xfId="0" applyFont="1" applyBorder="1" applyAlignment="1">
      <alignment horizontal="left" vertical="center"/>
    </xf>
    <xf numFmtId="0" fontId="0" fillId="0" borderId="9" xfId="0" applyFont="1" applyBorder="1" applyAlignment="1">
      <alignment vertical="top"/>
    </xf>
    <xf numFmtId="0" fontId="0" fillId="0" borderId="10" xfId="0" applyFont="1" applyBorder="1" applyAlignment="1">
      <alignment vertical="top"/>
    </xf>
    <xf numFmtId="0" fontId="0" fillId="0" borderId="0" xfId="0" applyFont="1" applyBorder="1" applyAlignment="1">
      <alignment horizontal="left" vertical="center"/>
    </xf>
    <xf numFmtId="0" fontId="0" fillId="0" borderId="11" xfId="0" applyFont="1" applyBorder="1" applyAlignment="1">
      <alignment vertical="top"/>
    </xf>
    <xf numFmtId="0" fontId="0" fillId="0" borderId="12" xfId="0" applyFont="1" applyBorder="1" applyAlignment="1">
      <alignment vertical="top"/>
    </xf>
    <xf numFmtId="0" fontId="0" fillId="0" borderId="1" xfId="0" applyFont="1" applyBorder="1" applyAlignment="1">
      <alignment vertical="top"/>
    </xf>
    <xf numFmtId="0" fontId="0" fillId="0" borderId="1" xfId="0" applyFont="1" applyBorder="1" applyAlignment="1">
      <alignment horizontal="left" vertical="center"/>
    </xf>
    <xf numFmtId="0" fontId="0" fillId="0" borderId="13" xfId="0" applyFont="1" applyBorder="1" applyAlignment="1">
      <alignment vertical="top"/>
    </xf>
    <xf numFmtId="0" fontId="2" fillId="0" borderId="5" xfId="0" applyFont="1" applyBorder="1" applyAlignment="1" applyProtection="1">
      <alignment horizontal="center" vertical="center" wrapText="1"/>
      <protection locked="0"/>
    </xf>
    <xf numFmtId="0" fontId="7" fillId="0" borderId="0" xfId="0" applyFont="1" applyAlignment="1">
      <alignment horizontal="left" vertical="center"/>
    </xf>
    <xf numFmtId="0" fontId="7" fillId="0" borderId="0" xfId="0" applyFont="1" applyAlignment="1" applyProtection="1">
      <alignment vertical="center" wrapText="1"/>
      <protection hidden="1"/>
    </xf>
    <xf numFmtId="0" fontId="0" fillId="0" borderId="0" xfId="0" applyFont="1" applyAlignment="1" applyProtection="1">
      <alignment horizontal="left" vertical="center"/>
      <protection/>
    </xf>
    <xf numFmtId="0" fontId="7" fillId="0" borderId="0" xfId="0" applyFont="1" applyAlignment="1" applyProtection="1">
      <alignment horizontal="left" vertical="center"/>
      <protection/>
    </xf>
    <xf numFmtId="0" fontId="0" fillId="0" borderId="0" xfId="0" applyFont="1" applyFill="1" applyAlignment="1" applyProtection="1">
      <alignment horizontal="left" vertical="center"/>
      <protection/>
    </xf>
    <xf numFmtId="3" fontId="2" fillId="0" borderId="14" xfId="0" applyNumberFormat="1" applyFont="1" applyFill="1" applyBorder="1" applyAlignment="1" applyProtection="1">
      <alignment horizontal="center" vertical="center" wrapText="1"/>
      <protection locked="0"/>
    </xf>
    <xf numFmtId="9" fontId="2" fillId="0" borderId="14" xfId="21" applyFont="1" applyFill="1" applyBorder="1" applyAlignment="1" applyProtection="1">
      <alignment horizontal="center" vertical="center" wrapText="1"/>
      <protection locked="0"/>
    </xf>
    <xf numFmtId="164" fontId="2" fillId="0" borderId="5" xfId="0" applyNumberFormat="1" applyFont="1" applyFill="1" applyBorder="1" applyAlignment="1" applyProtection="1">
      <alignment horizontal="center" vertical="center" wrapText="1"/>
      <protection locked="0"/>
    </xf>
    <xf numFmtId="0" fontId="0" fillId="0" borderId="0" xfId="0" applyAlignment="1" applyProtection="1">
      <alignment vertical="top"/>
      <protection/>
    </xf>
    <xf numFmtId="0" fontId="0" fillId="0" borderId="0" xfId="0" applyFont="1" applyAlignment="1" applyProtection="1">
      <alignment horizontal="left" vertical="top"/>
      <protection/>
    </xf>
    <xf numFmtId="0" fontId="16" fillId="0" borderId="0" xfId="0" applyFont="1" applyFill="1" applyBorder="1" applyAlignment="1" applyProtection="1">
      <alignment horizontal="center" vertical="center"/>
      <protection/>
    </xf>
    <xf numFmtId="0" fontId="0" fillId="0" borderId="0" xfId="0" applyFont="1" applyAlignment="1" applyProtection="1">
      <alignment vertical="top"/>
      <protection/>
    </xf>
    <xf numFmtId="0" fontId="3" fillId="0" borderId="0" xfId="0" applyFont="1" applyFill="1" applyBorder="1" applyAlignment="1" applyProtection="1">
      <alignment horizontal="left" vertical="center"/>
      <protection/>
    </xf>
    <xf numFmtId="0" fontId="17" fillId="0" borderId="0" xfId="0" applyFont="1" applyAlignment="1" applyProtection="1">
      <alignment vertical="top"/>
      <protection/>
    </xf>
    <xf numFmtId="0" fontId="0" fillId="0" borderId="0" xfId="0" applyFont="1" applyAlignment="1" applyProtection="1">
      <alignment horizontal="left" vertical="center" wrapText="1"/>
      <protection/>
    </xf>
    <xf numFmtId="0" fontId="0" fillId="0" borderId="0" xfId="0" applyFont="1" applyFill="1" applyBorder="1" applyAlignment="1" applyProtection="1">
      <alignment vertical="top"/>
      <protection/>
    </xf>
    <xf numFmtId="0" fontId="0" fillId="0" borderId="0" xfId="0" applyFont="1" applyFill="1" applyAlignment="1" applyProtection="1">
      <alignment vertical="top"/>
      <protection/>
    </xf>
    <xf numFmtId="0" fontId="0" fillId="0" borderId="0" xfId="0" applyFont="1" applyAlignment="1" applyProtection="1">
      <alignment vertical="top"/>
      <protection/>
    </xf>
    <xf numFmtId="3" fontId="9" fillId="3" borderId="14" xfId="0" applyNumberFormat="1" applyFont="1" applyFill="1" applyBorder="1" applyAlignment="1" applyProtection="1">
      <alignment horizontal="center" vertical="center" wrapText="1"/>
      <protection/>
    </xf>
    <xf numFmtId="164" fontId="0" fillId="3" borderId="5" xfId="0" applyNumberFormat="1" applyFont="1" applyFill="1" applyBorder="1" applyAlignment="1" applyProtection="1">
      <alignment horizontal="center" vertical="center" wrapText="1"/>
      <protection/>
    </xf>
    <xf numFmtId="3" fontId="9" fillId="3" borderId="5" xfId="0" applyNumberFormat="1" applyFont="1" applyFill="1" applyBorder="1" applyAlignment="1" applyProtection="1">
      <alignment horizontal="center" vertical="center" wrapText="1"/>
      <protection/>
    </xf>
    <xf numFmtId="0" fontId="7" fillId="0" borderId="0" xfId="0" applyFont="1" applyAlignment="1" applyProtection="1">
      <alignment vertical="center" wrapText="1"/>
      <protection/>
    </xf>
    <xf numFmtId="0" fontId="0" fillId="0" borderId="0" xfId="0" applyFont="1" applyAlignment="1" applyProtection="1">
      <alignment vertical="center" wrapText="1"/>
      <protection/>
    </xf>
    <xf numFmtId="3" fontId="0" fillId="3" borderId="5"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top"/>
      <protection/>
    </xf>
    <xf numFmtId="0" fontId="3" fillId="0" borderId="0" xfId="0" applyFont="1" applyAlignment="1">
      <alignment vertical="top"/>
    </xf>
    <xf numFmtId="0" fontId="20" fillId="0" borderId="0" xfId="0" applyFont="1" applyAlignment="1" applyProtection="1">
      <alignment horizontal="left"/>
      <protection/>
    </xf>
    <xf numFmtId="193" fontId="2" fillId="0" borderId="5" xfId="0" applyNumberFormat="1" applyFont="1" applyFill="1" applyBorder="1" applyAlignment="1" applyProtection="1">
      <alignment horizontal="center" vertical="top"/>
      <protection locked="0"/>
    </xf>
    <xf numFmtId="3" fontId="14" fillId="4" borderId="14" xfId="0" applyNumberFormat="1" applyFont="1" applyFill="1" applyBorder="1" applyAlignment="1" applyProtection="1">
      <alignment horizontal="left" vertical="center" wrapText="1"/>
      <protection/>
    </xf>
    <xf numFmtId="3" fontId="14" fillId="4" borderId="15" xfId="0" applyNumberFormat="1" applyFont="1" applyFill="1" applyBorder="1" applyAlignment="1" applyProtection="1">
      <alignment horizontal="left" vertical="center" wrapText="1"/>
      <protection/>
    </xf>
    <xf numFmtId="3" fontId="14" fillId="4" borderId="6" xfId="0" applyNumberFormat="1" applyFont="1" applyFill="1" applyBorder="1" applyAlignment="1" applyProtection="1">
      <alignment horizontal="left" vertical="center" wrapText="1"/>
      <protection/>
    </xf>
    <xf numFmtId="0" fontId="14" fillId="4" borderId="14" xfId="0" applyFont="1" applyFill="1" applyBorder="1" applyAlignment="1" applyProtection="1">
      <alignment horizontal="left" vertical="center" wrapText="1"/>
      <protection/>
    </xf>
    <xf numFmtId="0" fontId="14" fillId="4" borderId="15" xfId="0" applyFont="1" applyFill="1" applyBorder="1" applyAlignment="1" applyProtection="1">
      <alignment horizontal="left" vertical="center" wrapText="1"/>
      <protection/>
    </xf>
    <xf numFmtId="0" fontId="14" fillId="4" borderId="6" xfId="0" applyFont="1" applyFill="1" applyBorder="1" applyAlignment="1" applyProtection="1">
      <alignment horizontal="left" vertical="center" wrapText="1"/>
      <protection/>
    </xf>
    <xf numFmtId="189" fontId="14" fillId="4" borderId="5" xfId="0" applyNumberFormat="1" applyFont="1" applyFill="1" applyBorder="1" applyAlignment="1" applyProtection="1">
      <alignment horizontal="center" vertical="center" wrapText="1"/>
      <protection/>
    </xf>
    <xf numFmtId="3" fontId="14" fillId="5" borderId="14" xfId="0" applyNumberFormat="1" applyFont="1" applyFill="1" applyBorder="1" applyAlignment="1" applyProtection="1">
      <alignment horizontal="left" vertical="center"/>
      <protection/>
    </xf>
    <xf numFmtId="3" fontId="14" fillId="5" borderId="15" xfId="0" applyNumberFormat="1" applyFont="1" applyFill="1" applyBorder="1" applyAlignment="1" applyProtection="1">
      <alignment horizontal="left" vertical="center"/>
      <protection/>
    </xf>
    <xf numFmtId="3" fontId="14" fillId="5" borderId="6" xfId="0" applyNumberFormat="1" applyFont="1" applyFill="1" applyBorder="1" applyAlignment="1" applyProtection="1">
      <alignment horizontal="left" vertical="center"/>
      <protection/>
    </xf>
    <xf numFmtId="3" fontId="9" fillId="0" borderId="14" xfId="0" applyNumberFormat="1" applyFont="1" applyFill="1" applyBorder="1" applyAlignment="1" applyProtection="1">
      <alignment horizontal="left" vertical="center" wrapText="1"/>
      <protection/>
    </xf>
    <xf numFmtId="3" fontId="9" fillId="0" borderId="15" xfId="0" applyNumberFormat="1" applyFont="1" applyFill="1" applyBorder="1" applyAlignment="1" applyProtection="1">
      <alignment horizontal="left" vertical="center" wrapText="1"/>
      <protection/>
    </xf>
    <xf numFmtId="3" fontId="9" fillId="0" borderId="6" xfId="0" applyNumberFormat="1" applyFont="1" applyFill="1" applyBorder="1" applyAlignment="1" applyProtection="1">
      <alignment horizontal="left" vertical="center" wrapText="1"/>
      <protection/>
    </xf>
    <xf numFmtId="164" fontId="0" fillId="3" borderId="5" xfId="21" applyNumberFormat="1" applyFont="1" applyFill="1" applyBorder="1" applyAlignment="1" applyProtection="1">
      <alignment horizontal="center" vertical="center" wrapText="1"/>
      <protection/>
    </xf>
    <xf numFmtId="3" fontId="14" fillId="5" borderId="14" xfId="0" applyNumberFormat="1" applyFont="1" applyFill="1" applyBorder="1" applyAlignment="1" applyProtection="1">
      <alignment vertical="center" wrapText="1"/>
      <protection/>
    </xf>
    <xf numFmtId="0" fontId="15" fillId="5" borderId="15" xfId="0" applyFont="1" applyFill="1" applyBorder="1" applyAlignment="1" applyProtection="1">
      <alignment/>
      <protection/>
    </xf>
    <xf numFmtId="0" fontId="15" fillId="5" borderId="6" xfId="0" applyFont="1" applyFill="1" applyBorder="1" applyAlignment="1" applyProtection="1">
      <alignment/>
      <protection/>
    </xf>
    <xf numFmtId="3" fontId="0" fillId="3" borderId="5" xfId="0" applyNumberFormat="1" applyFont="1" applyFill="1" applyBorder="1" applyAlignment="1" applyProtection="1">
      <alignment vertical="center" wrapText="1"/>
      <protection/>
    </xf>
    <xf numFmtId="3" fontId="14" fillId="4" borderId="5" xfId="0" applyNumberFormat="1" applyFont="1" applyFill="1" applyBorder="1" applyAlignment="1" applyProtection="1">
      <alignment horizontal="center" vertical="center" wrapText="1"/>
      <protection/>
    </xf>
    <xf numFmtId="0" fontId="9" fillId="3" borderId="14" xfId="0" applyFont="1" applyFill="1" applyBorder="1" applyAlignment="1" applyProtection="1">
      <alignment horizontal="left" vertical="center"/>
      <protection/>
    </xf>
    <xf numFmtId="0" fontId="9" fillId="3" borderId="15" xfId="0" applyFont="1" applyFill="1" applyBorder="1" applyAlignment="1" applyProtection="1">
      <alignment horizontal="left" vertical="center"/>
      <protection/>
    </xf>
    <xf numFmtId="0" fontId="9" fillId="3" borderId="6" xfId="0" applyFont="1" applyFill="1" applyBorder="1" applyAlignment="1" applyProtection="1">
      <alignment horizontal="left" vertical="center"/>
      <protection/>
    </xf>
    <xf numFmtId="3" fontId="14" fillId="5" borderId="14" xfId="0" applyNumberFormat="1" applyFont="1" applyFill="1" applyBorder="1" applyAlignment="1">
      <alignment vertical="center" wrapText="1"/>
    </xf>
    <xf numFmtId="0" fontId="15" fillId="5" borderId="15" xfId="0" applyFont="1" applyFill="1" applyBorder="1" applyAlignment="1">
      <alignment/>
    </xf>
    <xf numFmtId="0" fontId="15" fillId="5" borderId="6" xfId="0" applyFont="1" applyFill="1" applyBorder="1" applyAlignment="1">
      <alignment/>
    </xf>
    <xf numFmtId="0" fontId="9" fillId="0" borderId="5" xfId="0" applyFont="1" applyFill="1" applyBorder="1" applyAlignment="1" applyProtection="1">
      <alignment vertical="center"/>
      <protection/>
    </xf>
    <xf numFmtId="0" fontId="0" fillId="3" borderId="5" xfId="0" applyFont="1" applyFill="1" applyBorder="1" applyAlignment="1" applyProtection="1">
      <alignment horizontal="left" vertical="center" wrapText="1"/>
      <protection/>
    </xf>
    <xf numFmtId="3" fontId="0" fillId="3" borderId="5" xfId="0" applyNumberFormat="1" applyFont="1" applyFill="1" applyBorder="1" applyAlignment="1" applyProtection="1">
      <alignment horizontal="left" vertical="center" wrapText="1"/>
      <protection/>
    </xf>
    <xf numFmtId="3" fontId="14" fillId="5" borderId="5" xfId="0" applyNumberFormat="1" applyFont="1" applyFill="1" applyBorder="1" applyAlignment="1">
      <alignment vertical="center" wrapText="1"/>
    </xf>
    <xf numFmtId="0" fontId="15" fillId="5" borderId="5" xfId="0" applyFont="1" applyFill="1" applyBorder="1" applyAlignment="1">
      <alignment/>
    </xf>
    <xf numFmtId="0" fontId="9" fillId="0" borderId="14" xfId="0" applyFont="1" applyFill="1" applyBorder="1" applyAlignment="1" applyProtection="1">
      <alignment horizontal="left" vertical="center"/>
      <protection/>
    </xf>
    <xf numFmtId="0" fontId="9" fillId="0" borderId="15" xfId="0" applyFont="1" applyFill="1" applyBorder="1" applyAlignment="1" applyProtection="1">
      <alignment horizontal="left" vertical="center"/>
      <protection/>
    </xf>
    <xf numFmtId="0" fontId="9" fillId="0" borderId="6" xfId="0" applyFont="1" applyFill="1" applyBorder="1" applyAlignment="1" applyProtection="1">
      <alignment horizontal="left" vertical="center"/>
      <protection/>
    </xf>
    <xf numFmtId="0" fontId="9" fillId="0" borderId="14" xfId="0" applyFont="1" applyFill="1" applyBorder="1" applyAlignment="1" applyProtection="1">
      <alignment vertical="center"/>
      <protection/>
    </xf>
    <xf numFmtId="0" fontId="9" fillId="0" borderId="15" xfId="0" applyFont="1" applyFill="1" applyBorder="1" applyAlignment="1" applyProtection="1">
      <alignment vertical="center"/>
      <protection/>
    </xf>
    <xf numFmtId="0" fontId="9" fillId="0" borderId="6" xfId="0" applyFont="1" applyFill="1" applyBorder="1" applyAlignment="1" applyProtection="1">
      <alignment vertical="center"/>
      <protection/>
    </xf>
    <xf numFmtId="0" fontId="9" fillId="3" borderId="14" xfId="0" applyFont="1" applyFill="1" applyBorder="1" applyAlignment="1" applyProtection="1">
      <alignment vertical="center"/>
      <protection/>
    </xf>
    <xf numFmtId="0" fontId="9" fillId="3" borderId="15" xfId="0" applyFont="1" applyFill="1" applyBorder="1" applyAlignment="1" applyProtection="1">
      <alignment vertical="center"/>
      <protection/>
    </xf>
    <xf numFmtId="0" fontId="9" fillId="3" borderId="6" xfId="0" applyFont="1" applyFill="1" applyBorder="1" applyAlignment="1" applyProtection="1">
      <alignment vertical="center"/>
      <protection/>
    </xf>
    <xf numFmtId="0" fontId="0" fillId="3" borderId="5" xfId="0" applyFont="1" applyFill="1" applyBorder="1" applyAlignment="1" applyProtection="1">
      <alignment vertical="center" wrapText="1"/>
      <protection/>
    </xf>
    <xf numFmtId="0" fontId="15" fillId="5" borderId="13" xfId="0" applyFont="1" applyFill="1" applyBorder="1" applyAlignment="1">
      <alignment/>
    </xf>
    <xf numFmtId="3" fontId="9" fillId="0" borderId="5" xfId="0" applyNumberFormat="1" applyFont="1" applyFill="1" applyBorder="1" applyAlignment="1">
      <alignment horizontal="left" vertical="center"/>
    </xf>
    <xf numFmtId="0" fontId="14" fillId="4" borderId="7" xfId="0" applyFont="1" applyFill="1" applyBorder="1" applyAlignment="1" applyProtection="1">
      <alignment horizontal="left" vertical="center"/>
      <protection/>
    </xf>
    <xf numFmtId="0" fontId="14" fillId="4" borderId="8" xfId="0" applyFont="1" applyFill="1" applyBorder="1" applyAlignment="1" applyProtection="1">
      <alignment horizontal="left" vertical="center"/>
      <protection/>
    </xf>
    <xf numFmtId="0" fontId="14" fillId="4" borderId="12" xfId="0" applyFont="1" applyFill="1" applyBorder="1" applyAlignment="1" applyProtection="1">
      <alignment horizontal="left" vertical="center"/>
      <protection/>
    </xf>
    <xf numFmtId="0" fontId="14" fillId="4" borderId="1" xfId="0" applyFont="1" applyFill="1" applyBorder="1" applyAlignment="1" applyProtection="1">
      <alignment horizontal="left" vertical="center"/>
      <protection/>
    </xf>
    <xf numFmtId="3" fontId="14" fillId="4" borderId="15" xfId="0" applyNumberFormat="1" applyFont="1" applyFill="1" applyBorder="1" applyAlignment="1" applyProtection="1">
      <alignment horizontal="center" vertical="center" wrapText="1"/>
      <protection/>
    </xf>
    <xf numFmtId="3" fontId="14" fillId="4" borderId="6" xfId="0" applyNumberFormat="1" applyFont="1" applyFill="1" applyBorder="1" applyAlignment="1" applyProtection="1">
      <alignment horizontal="center" vertical="center" wrapText="1"/>
      <protection/>
    </xf>
    <xf numFmtId="3" fontId="14" fillId="4" borderId="9" xfId="0" applyNumberFormat="1" applyFont="1" applyFill="1" applyBorder="1" applyAlignment="1" applyProtection="1">
      <alignment horizontal="center" vertical="center" wrapText="1"/>
      <protection/>
    </xf>
    <xf numFmtId="3" fontId="14" fillId="4" borderId="13" xfId="0" applyNumberFormat="1" applyFont="1" applyFill="1" applyBorder="1" applyAlignment="1" applyProtection="1">
      <alignment horizontal="center" vertical="center" wrapText="1"/>
      <protection/>
    </xf>
    <xf numFmtId="3" fontId="9" fillId="0" borderId="14" xfId="0" applyNumberFormat="1" applyFont="1" applyFill="1" applyBorder="1" applyAlignment="1">
      <alignment horizontal="left" vertical="center" wrapText="1"/>
    </xf>
    <xf numFmtId="3" fontId="9" fillId="0" borderId="15" xfId="0" applyNumberFormat="1" applyFont="1" applyFill="1" applyBorder="1" applyAlignment="1">
      <alignment horizontal="left" vertical="center" wrapText="1"/>
    </xf>
    <xf numFmtId="3" fontId="14" fillId="5" borderId="12" xfId="0" applyNumberFormat="1" applyFont="1" applyFill="1" applyBorder="1" applyAlignment="1">
      <alignment vertical="center" wrapText="1"/>
    </xf>
    <xf numFmtId="0" fontId="15" fillId="5" borderId="1" xfId="0" applyFont="1" applyFill="1" applyBorder="1" applyAlignment="1">
      <alignment/>
    </xf>
    <xf numFmtId="0" fontId="15" fillId="5" borderId="9" xfId="0" applyFont="1" applyFill="1" applyBorder="1" applyAlignment="1">
      <alignment/>
    </xf>
    <xf numFmtId="3" fontId="12" fillId="4" borderId="10" xfId="0" applyNumberFormat="1" applyFont="1" applyFill="1" applyBorder="1" applyAlignment="1" applyProtection="1">
      <alignment horizontal="center" vertical="center"/>
      <protection hidden="1"/>
    </xf>
    <xf numFmtId="0" fontId="12" fillId="4" borderId="10" xfId="0" applyFont="1" applyFill="1" applyBorder="1" applyAlignment="1">
      <alignment/>
    </xf>
    <xf numFmtId="0" fontId="3" fillId="0" borderId="0" xfId="0" applyFont="1" applyAlignment="1" applyProtection="1">
      <alignment horizontal="left" vertical="top" wrapText="1"/>
      <protection/>
    </xf>
    <xf numFmtId="0" fontId="22" fillId="0" borderId="0" xfId="0" applyFont="1" applyAlignment="1" applyProtection="1">
      <alignment horizontal="left" vertical="top" wrapText="1"/>
      <protection/>
    </xf>
    <xf numFmtId="3" fontId="9" fillId="3" borderId="5" xfId="0" applyNumberFormat="1" applyFont="1" applyFill="1" applyBorder="1" applyAlignment="1" applyProtection="1">
      <alignment horizontal="left" vertical="center" wrapText="1"/>
      <protection/>
    </xf>
    <xf numFmtId="0" fontId="0" fillId="3" borderId="5" xfId="0" applyFont="1" applyFill="1" applyBorder="1" applyAlignment="1" applyProtection="1">
      <alignment horizontal="left" vertical="center" wrapText="1"/>
      <protection hidden="1"/>
    </xf>
    <xf numFmtId="3" fontId="9" fillId="3" borderId="5" xfId="0" applyNumberFormat="1" applyFont="1" applyFill="1" applyBorder="1" applyAlignment="1">
      <alignment horizontal="left" vertical="center"/>
    </xf>
    <xf numFmtId="0" fontId="3" fillId="0" borderId="0" xfId="0" applyFont="1" applyAlignment="1" applyProtection="1">
      <alignment horizontal="left" vertical="top"/>
      <protection/>
    </xf>
    <xf numFmtId="0" fontId="0"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top" wrapText="1"/>
    </xf>
    <xf numFmtId="3" fontId="9" fillId="0" borderId="0" xfId="0" applyNumberFormat="1" applyFont="1" applyFill="1" applyBorder="1" applyAlignment="1">
      <alignment horizontal="left" vertical="center" wrapText="1"/>
    </xf>
    <xf numFmtId="3" fontId="9" fillId="0" borderId="0" xfId="0" applyNumberFormat="1" applyFont="1" applyFill="1" applyBorder="1" applyAlignment="1">
      <alignment horizontal="left" vertical="center"/>
    </xf>
    <xf numFmtId="0" fontId="9" fillId="0" borderId="0" xfId="0" applyFont="1" applyFill="1" applyBorder="1" applyAlignment="1">
      <alignment horizontal="left" vertical="center"/>
    </xf>
    <xf numFmtId="3" fontId="11" fillId="0" borderId="0"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9" fontId="9"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left" vertical="center" wrapText="1"/>
    </xf>
    <xf numFmtId="3" fontId="11" fillId="0" borderId="0" xfId="0" applyNumberFormat="1" applyFont="1" applyFill="1" applyBorder="1" applyAlignment="1" applyProtection="1">
      <alignment horizontal="center" vertical="center" wrapText="1"/>
      <protection hidden="1"/>
    </xf>
    <xf numFmtId="10" fontId="9" fillId="0" borderId="0" xfId="21" applyNumberFormat="1" applyFont="1" applyFill="1" applyBorder="1" applyAlignment="1" applyProtection="1">
      <alignment horizontal="center" vertical="center" wrapText="1"/>
      <protection hidden="1"/>
    </xf>
    <xf numFmtId="0" fontId="9" fillId="0" borderId="0" xfId="0" applyFont="1" applyFill="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color rgb="FFFF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xdr:col>
      <xdr:colOff>723900</xdr:colOff>
      <xdr:row>1</xdr:row>
      <xdr:rowOff>476250</xdr:rowOff>
    </xdr:to>
    <xdr:pic>
      <xdr:nvPicPr>
        <xdr:cNvPr id="1" name="Picture 73"/>
        <xdr:cNvPicPr preferRelativeResize="1">
          <a:picLocks noChangeAspect="1"/>
        </xdr:cNvPicPr>
      </xdr:nvPicPr>
      <xdr:blipFill>
        <a:blip r:embed="rId1"/>
        <a:stretch>
          <a:fillRect/>
        </a:stretch>
      </xdr:blipFill>
      <xdr:spPr>
        <a:xfrm>
          <a:off x="66675" y="85725"/>
          <a:ext cx="1476375"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2</xdr:col>
      <xdr:colOff>504825</xdr:colOff>
      <xdr:row>2</xdr:row>
      <xdr:rowOff>114300</xdr:rowOff>
    </xdr:to>
    <xdr:pic>
      <xdr:nvPicPr>
        <xdr:cNvPr id="1" name="Picture 4"/>
        <xdr:cNvPicPr preferRelativeResize="1">
          <a:picLocks noChangeAspect="1"/>
        </xdr:cNvPicPr>
      </xdr:nvPicPr>
      <xdr:blipFill>
        <a:blip r:embed="rId1"/>
        <a:stretch>
          <a:fillRect/>
        </a:stretch>
      </xdr:blipFill>
      <xdr:spPr>
        <a:xfrm>
          <a:off x="57150" y="57150"/>
          <a:ext cx="1476375" cy="952500"/>
        </a:xfrm>
        <a:prstGeom prst="rect">
          <a:avLst/>
        </a:prstGeom>
        <a:noFill/>
        <a:ln w="9525" cmpd="sng">
          <a:noFill/>
        </a:ln>
      </xdr:spPr>
    </xdr:pic>
    <xdr:clientData/>
  </xdr:twoCellAnchor>
  <xdr:twoCellAnchor>
    <xdr:from>
      <xdr:col>1</xdr:col>
      <xdr:colOff>0</xdr:colOff>
      <xdr:row>66</xdr:row>
      <xdr:rowOff>0</xdr:rowOff>
    </xdr:from>
    <xdr:to>
      <xdr:col>3</xdr:col>
      <xdr:colOff>3543300</xdr:colOff>
      <xdr:row>93</xdr:row>
      <xdr:rowOff>142875</xdr:rowOff>
    </xdr:to>
    <xdr:pic>
      <xdr:nvPicPr>
        <xdr:cNvPr id="2" name="Picture 12"/>
        <xdr:cNvPicPr preferRelativeResize="1">
          <a:picLocks noChangeAspect="1"/>
        </xdr:cNvPicPr>
      </xdr:nvPicPr>
      <xdr:blipFill>
        <a:blip r:embed="rId2"/>
        <a:stretch>
          <a:fillRect/>
        </a:stretch>
      </xdr:blipFill>
      <xdr:spPr>
        <a:xfrm>
          <a:off x="514350" y="13125450"/>
          <a:ext cx="4572000" cy="4514850"/>
        </a:xfrm>
        <a:prstGeom prst="rect">
          <a:avLst/>
        </a:prstGeom>
        <a:noFill/>
        <a:ln w="9525" cmpd="sng">
          <a:noFill/>
        </a:ln>
      </xdr:spPr>
    </xdr:pic>
    <xdr:clientData/>
  </xdr:twoCellAnchor>
  <xdr:twoCellAnchor>
    <xdr:from>
      <xdr:col>1</xdr:col>
      <xdr:colOff>0</xdr:colOff>
      <xdr:row>127</xdr:row>
      <xdr:rowOff>9525</xdr:rowOff>
    </xdr:from>
    <xdr:to>
      <xdr:col>3</xdr:col>
      <xdr:colOff>3543300</xdr:colOff>
      <xdr:row>158</xdr:row>
      <xdr:rowOff>9525</xdr:rowOff>
    </xdr:to>
    <xdr:pic>
      <xdr:nvPicPr>
        <xdr:cNvPr id="3" name="Picture 13"/>
        <xdr:cNvPicPr preferRelativeResize="1">
          <a:picLocks noChangeAspect="1"/>
        </xdr:cNvPicPr>
      </xdr:nvPicPr>
      <xdr:blipFill>
        <a:blip r:embed="rId3"/>
        <a:stretch>
          <a:fillRect/>
        </a:stretch>
      </xdr:blipFill>
      <xdr:spPr>
        <a:xfrm>
          <a:off x="514350" y="24231600"/>
          <a:ext cx="4572000" cy="5019675"/>
        </a:xfrm>
        <a:prstGeom prst="rect">
          <a:avLst/>
        </a:prstGeom>
        <a:noFill/>
        <a:ln w="9525" cmpd="sng">
          <a:noFill/>
        </a:ln>
      </xdr:spPr>
    </xdr:pic>
    <xdr:clientData/>
  </xdr:twoCellAnchor>
  <xdr:twoCellAnchor>
    <xdr:from>
      <xdr:col>1</xdr:col>
      <xdr:colOff>0</xdr:colOff>
      <xdr:row>194</xdr:row>
      <xdr:rowOff>0</xdr:rowOff>
    </xdr:from>
    <xdr:to>
      <xdr:col>3</xdr:col>
      <xdr:colOff>3543300</xdr:colOff>
      <xdr:row>225</xdr:row>
      <xdr:rowOff>114300</xdr:rowOff>
    </xdr:to>
    <xdr:pic>
      <xdr:nvPicPr>
        <xdr:cNvPr id="4" name="Picture 14"/>
        <xdr:cNvPicPr preferRelativeResize="1">
          <a:picLocks noChangeAspect="1"/>
        </xdr:cNvPicPr>
      </xdr:nvPicPr>
      <xdr:blipFill>
        <a:blip r:embed="rId4"/>
        <a:stretch>
          <a:fillRect/>
        </a:stretch>
      </xdr:blipFill>
      <xdr:spPr>
        <a:xfrm>
          <a:off x="514350" y="36614100"/>
          <a:ext cx="4572000" cy="513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L51"/>
  <sheetViews>
    <sheetView showGridLines="0" tabSelected="1" zoomScaleSheetLayoutView="90" workbookViewId="0" topLeftCell="A1">
      <selection activeCell="B5" sqref="B5"/>
    </sheetView>
  </sheetViews>
  <sheetFormatPr defaultColWidth="9.140625" defaultRowHeight="12.75"/>
  <cols>
    <col min="1" max="2" width="12.28125" style="2" customWidth="1"/>
    <col min="3" max="3" width="13.57421875" style="2" customWidth="1"/>
    <col min="4" max="4" width="10.28125" style="3" customWidth="1"/>
    <col min="5" max="6" width="16.57421875" style="3" customWidth="1"/>
    <col min="7" max="7" width="48.140625" style="161" customWidth="1"/>
    <col min="8" max="8" width="5.57421875" style="3" customWidth="1"/>
    <col min="9" max="16384" width="9.140625" style="3" customWidth="1"/>
  </cols>
  <sheetData>
    <row r="1" ht="44.25" customHeight="1">
      <c r="C1" s="129" t="s">
        <v>166</v>
      </c>
    </row>
    <row r="2" spans="3:7" s="14" customFormat="1" ht="44.25" customHeight="1">
      <c r="C2" s="105" t="s">
        <v>159</v>
      </c>
      <c r="E2" s="104"/>
      <c r="F2" s="104"/>
      <c r="G2" s="162"/>
    </row>
    <row r="3" spans="3:7" s="14" customFormat="1" ht="13.5" customHeight="1">
      <c r="C3" s="178"/>
      <c r="E3" s="104"/>
      <c r="F3" s="104"/>
      <c r="G3" s="162"/>
    </row>
    <row r="4" spans="1:12" s="124" customFormat="1" ht="15.75">
      <c r="A4" s="203" t="s">
        <v>156</v>
      </c>
      <c r="B4" s="204"/>
      <c r="C4" s="204"/>
      <c r="D4" s="204"/>
      <c r="E4" s="204"/>
      <c r="F4" s="205"/>
      <c r="G4" s="163"/>
      <c r="H4" s="123"/>
      <c r="I4" s="123"/>
      <c r="J4" s="123"/>
      <c r="K4" s="123"/>
      <c r="L4" s="123"/>
    </row>
    <row r="5" spans="1:7" s="15" customFormat="1" ht="16.5" customHeight="1">
      <c r="A5" s="141"/>
      <c r="B5" s="142" t="s">
        <v>160</v>
      </c>
      <c r="C5" s="143"/>
      <c r="D5" s="142"/>
      <c r="E5" s="142"/>
      <c r="F5" s="144"/>
      <c r="G5" s="164"/>
    </row>
    <row r="6" spans="1:7" s="15" customFormat="1" ht="16.5" customHeight="1">
      <c r="A6" s="145"/>
      <c r="B6" s="99" t="s">
        <v>157</v>
      </c>
      <c r="C6" s="146"/>
      <c r="D6" s="99"/>
      <c r="E6" s="99"/>
      <c r="F6" s="147"/>
      <c r="G6" s="164"/>
    </row>
    <row r="7" spans="1:7" s="15" customFormat="1" ht="16.5" customHeight="1">
      <c r="A7" s="148"/>
      <c r="B7" s="149" t="s">
        <v>158</v>
      </c>
      <c r="C7" s="150"/>
      <c r="D7" s="149"/>
      <c r="E7" s="149"/>
      <c r="F7" s="151"/>
      <c r="G7" s="164"/>
    </row>
    <row r="8" spans="1:7" s="15" customFormat="1" ht="15" customHeight="1">
      <c r="A8" s="223" t="s">
        <v>0</v>
      </c>
      <c r="B8" s="224"/>
      <c r="C8" s="224"/>
      <c r="D8" s="229"/>
      <c r="E8" s="227" t="s">
        <v>1</v>
      </c>
      <c r="F8" s="228"/>
      <c r="G8" s="164"/>
    </row>
    <row r="9" spans="1:7" s="15" customFormat="1" ht="31.5">
      <c r="A9" s="225"/>
      <c r="B9" s="226"/>
      <c r="C9" s="226"/>
      <c r="D9" s="230"/>
      <c r="E9" s="127" t="s">
        <v>40</v>
      </c>
      <c r="F9" s="128" t="s">
        <v>108</v>
      </c>
      <c r="G9" s="165" t="s">
        <v>2</v>
      </c>
    </row>
    <row r="10" spans="1:12" s="124" customFormat="1" ht="15.75">
      <c r="A10" s="233" t="s">
        <v>42</v>
      </c>
      <c r="B10" s="234"/>
      <c r="C10" s="234"/>
      <c r="D10" s="234"/>
      <c r="E10" s="204"/>
      <c r="F10" s="235"/>
      <c r="G10" s="166"/>
      <c r="H10" s="123"/>
      <c r="I10" s="123"/>
      <c r="J10" s="123"/>
      <c r="K10" s="123"/>
      <c r="L10" s="123"/>
    </row>
    <row r="11" spans="1:9" s="4" customFormat="1" ht="25.5">
      <c r="A11" s="231" t="s">
        <v>109</v>
      </c>
      <c r="B11" s="232"/>
      <c r="C11" s="232"/>
      <c r="D11" s="106"/>
      <c r="E11" s="158">
        <v>50000</v>
      </c>
      <c r="F11" s="236"/>
      <c r="G11" s="167" t="str">
        <f>IF(E11&lt;=0,"Connected load must be &gt;0","Enter result from Report tab of Load Balance Program")</f>
        <v>Enter result from Report tab of Load Balance Program</v>
      </c>
      <c r="H11" s="33"/>
      <c r="I11" s="33"/>
    </row>
    <row r="12" spans="1:9" s="4" customFormat="1" ht="25.5">
      <c r="A12" s="231" t="s">
        <v>106</v>
      </c>
      <c r="B12" s="232"/>
      <c r="C12" s="232"/>
      <c r="D12" s="106"/>
      <c r="E12" s="158">
        <v>7749</v>
      </c>
      <c r="F12" s="237"/>
      <c r="G12" s="167" t="str">
        <f>IF(OR(E12&lt;0,E12&gt;8760),"Operating time must be &gt;0 and &lt;=8760","Enter result from Report tab of Load Balance Program")</f>
        <v>Enter result from Report tab of Load Balance Program</v>
      </c>
      <c r="H12" s="33"/>
      <c r="I12" s="33"/>
    </row>
    <row r="13" spans="1:9" s="4" customFormat="1" ht="25.5">
      <c r="A13" s="231" t="s">
        <v>107</v>
      </c>
      <c r="B13" s="232"/>
      <c r="C13" s="232"/>
      <c r="D13" s="106"/>
      <c r="E13" s="159">
        <v>0.45</v>
      </c>
      <c r="F13" s="237"/>
      <c r="G13" s="167" t="str">
        <f>IF(OR(E13&lt;=0%,E13&gt;100%),"Load factor must be &gt;0% and &lt;=100%","Enter result from Report tab of Load Balance Program")</f>
        <v>Enter result from Report tab of Load Balance Program</v>
      </c>
      <c r="H13" s="33"/>
      <c r="I13" s="33"/>
    </row>
    <row r="14" spans="1:9" s="4" customFormat="1" ht="12.75">
      <c r="A14" s="242" t="s">
        <v>110</v>
      </c>
      <c r="B14" s="242"/>
      <c r="C14" s="242"/>
      <c r="D14" s="242"/>
      <c r="E14" s="171">
        <f>E12*E13</f>
        <v>3487.05</v>
      </c>
      <c r="F14" s="237"/>
      <c r="G14" s="156" t="s">
        <v>215</v>
      </c>
      <c r="H14" s="33"/>
      <c r="I14" s="33"/>
    </row>
    <row r="15" spans="1:9" s="4" customFormat="1" ht="12.75">
      <c r="A15" s="241" t="s">
        <v>111</v>
      </c>
      <c r="B15" s="241"/>
      <c r="C15" s="241"/>
      <c r="D15" s="241"/>
      <c r="E15" s="171">
        <f>E11*E14/100</f>
        <v>1743525</v>
      </c>
      <c r="F15" s="237"/>
      <c r="G15" s="156" t="s">
        <v>216</v>
      </c>
      <c r="H15" s="33"/>
      <c r="I15" s="33"/>
    </row>
    <row r="16" spans="1:12" s="124" customFormat="1" ht="15.75">
      <c r="A16" s="203" t="s">
        <v>33</v>
      </c>
      <c r="B16" s="204"/>
      <c r="C16" s="204"/>
      <c r="D16" s="204"/>
      <c r="E16" s="204"/>
      <c r="F16" s="221"/>
      <c r="G16" s="163"/>
      <c r="H16" s="123"/>
      <c r="I16" s="123"/>
      <c r="J16" s="123"/>
      <c r="K16" s="123"/>
      <c r="L16" s="123"/>
    </row>
    <row r="17" spans="1:9" s="31" customFormat="1" ht="25.5" customHeight="1">
      <c r="A17" s="222" t="s">
        <v>112</v>
      </c>
      <c r="B17" s="222"/>
      <c r="C17" s="222"/>
      <c r="D17" s="222"/>
      <c r="E17" s="107">
        <v>1600</v>
      </c>
      <c r="F17" s="107">
        <v>1600</v>
      </c>
      <c r="G17" s="167" t="str">
        <f>IF(OR(E17&lt;200,E17&gt;3000,F17&lt;200,F17&gt;3000),"Flue gas temperature must be &gt;=200 F and &lt;=3000 F","Enter result from Flue Gas Test")</f>
        <v>Enter result from Flue Gas Test</v>
      </c>
      <c r="H17" s="32"/>
      <c r="I17" s="32"/>
    </row>
    <row r="18" spans="1:9" s="31" customFormat="1" ht="25.5" customHeight="1">
      <c r="A18" s="222" t="s">
        <v>113</v>
      </c>
      <c r="B18" s="222"/>
      <c r="C18" s="222"/>
      <c r="D18" s="222"/>
      <c r="E18" s="160">
        <v>0.04</v>
      </c>
      <c r="F18" s="160">
        <v>0.02</v>
      </c>
      <c r="G18" s="167" t="str">
        <f>IF(OR(E18&lt;0%,E18&gt;100%,F18&lt;0%,F18&gt;100%),"Oxygen concentration must be &gt;=0% and &lt;=100%","Enter result from Flue Gas Test")</f>
        <v>Enter result from Flue Gas Test</v>
      </c>
      <c r="H18" s="32"/>
      <c r="I18" s="32"/>
    </row>
    <row r="19" spans="1:9" s="31" customFormat="1" ht="38.25" customHeight="1">
      <c r="A19" s="222" t="s">
        <v>114</v>
      </c>
      <c r="B19" s="222"/>
      <c r="C19" s="222"/>
      <c r="D19" s="222"/>
      <c r="E19" s="107">
        <v>80</v>
      </c>
      <c r="F19" s="107">
        <v>80</v>
      </c>
      <c r="G19" s="167" t="str">
        <f>IF(OR(E19&lt;0,E19&gt;E17,F19&lt;0,F19&gt;F17),"Combustion air temperature must be &gt;=0 F and &lt;= flue gas temperature","Obtain value from customer")</f>
        <v>Obtain value from customer</v>
      </c>
      <c r="H19" s="32"/>
      <c r="I19" s="32"/>
    </row>
    <row r="20" spans="1:12" s="124" customFormat="1" ht="15.75">
      <c r="A20" s="203" t="s">
        <v>148</v>
      </c>
      <c r="B20" s="204"/>
      <c r="C20" s="204"/>
      <c r="D20" s="204"/>
      <c r="E20" s="204"/>
      <c r="F20" s="205"/>
      <c r="G20" s="163"/>
      <c r="H20" s="123"/>
      <c r="I20" s="123"/>
      <c r="J20" s="123"/>
      <c r="K20" s="123"/>
      <c r="L20" s="123"/>
    </row>
    <row r="21" spans="1:9" s="31" customFormat="1" ht="12.75">
      <c r="A21" s="240" t="s">
        <v>134</v>
      </c>
      <c r="B21" s="240"/>
      <c r="C21" s="240"/>
      <c r="D21" s="240"/>
      <c r="E21" s="172">
        <f>'Excess Air'!D16</f>
        <v>0.2214892</v>
      </c>
      <c r="F21" s="172">
        <f>'Excess Air'!E16</f>
        <v>0.09607439999999999</v>
      </c>
      <c r="G21" s="174" t="s">
        <v>217</v>
      </c>
      <c r="H21" s="32"/>
      <c r="I21" s="32"/>
    </row>
    <row r="22" spans="1:9" s="31" customFormat="1" ht="25.5">
      <c r="A22" s="207" t="s">
        <v>150</v>
      </c>
      <c r="B22" s="207"/>
      <c r="C22" s="207"/>
      <c r="D22" s="207"/>
      <c r="E22" s="173">
        <f>'Excess Air'!D20</f>
        <v>1743525</v>
      </c>
      <c r="F22" s="173">
        <f>'Excess Air'!E20</f>
        <v>1614897.5651846118</v>
      </c>
      <c r="G22" s="174" t="s">
        <v>218</v>
      </c>
      <c r="H22" s="32"/>
      <c r="I22" s="32"/>
    </row>
    <row r="23" spans="1:7" s="34" customFormat="1" ht="25.5">
      <c r="A23" s="208" t="s">
        <v>135</v>
      </c>
      <c r="B23" s="208"/>
      <c r="C23" s="208"/>
      <c r="D23" s="208"/>
      <c r="E23" s="194">
        <f>'Excess Air'!D19</f>
        <v>0.07377435644191406</v>
      </c>
      <c r="F23" s="194"/>
      <c r="G23" s="174" t="s">
        <v>219</v>
      </c>
    </row>
    <row r="24" spans="1:7" s="125" customFormat="1" ht="25.5" customHeight="1">
      <c r="A24" s="181" t="s">
        <v>151</v>
      </c>
      <c r="B24" s="182"/>
      <c r="C24" s="182"/>
      <c r="D24" s="183"/>
      <c r="E24" s="199">
        <f>'Excess Air'!D21</f>
        <v>128627.43481538817</v>
      </c>
      <c r="F24" s="199"/>
      <c r="G24" s="174" t="s">
        <v>220</v>
      </c>
    </row>
    <row r="25" spans="1:7" s="125" customFormat="1" ht="15.75">
      <c r="A25" s="188" t="s">
        <v>164</v>
      </c>
      <c r="B25" s="189"/>
      <c r="C25" s="189"/>
      <c r="D25" s="189"/>
      <c r="E25" s="189"/>
      <c r="F25" s="190"/>
      <c r="G25" s="175"/>
    </row>
    <row r="26" spans="1:7" s="125" customFormat="1" ht="12.75">
      <c r="A26" s="191" t="s">
        <v>167</v>
      </c>
      <c r="B26" s="192"/>
      <c r="C26" s="192"/>
      <c r="D26" s="193"/>
      <c r="E26" s="180">
        <v>0.95</v>
      </c>
      <c r="F26" s="180"/>
      <c r="G26" s="155" t="str">
        <f>IF(E26&lt;=0,"Gas rate must be positive number","Customer gas rate")</f>
        <v>Customer gas rate</v>
      </c>
    </row>
    <row r="27" spans="1:7" s="125" customFormat="1" ht="15.75">
      <c r="A27" s="184" t="s">
        <v>168</v>
      </c>
      <c r="B27" s="185"/>
      <c r="C27" s="185"/>
      <c r="D27" s="186"/>
      <c r="E27" s="187">
        <f>E24*E26</f>
        <v>122196.06307461875</v>
      </c>
      <c r="F27" s="187"/>
      <c r="G27" s="156" t="s">
        <v>221</v>
      </c>
    </row>
    <row r="28" spans="1:12" s="124" customFormat="1" ht="15.75" hidden="1">
      <c r="A28" s="209" t="s">
        <v>115</v>
      </c>
      <c r="B28" s="210"/>
      <c r="C28" s="210"/>
      <c r="D28" s="210"/>
      <c r="E28" s="210"/>
      <c r="F28" s="210"/>
      <c r="G28" s="163"/>
      <c r="H28" s="123"/>
      <c r="I28" s="123"/>
      <c r="J28" s="123"/>
      <c r="K28" s="123"/>
      <c r="L28" s="123"/>
    </row>
    <row r="29" spans="1:7" s="31" customFormat="1" ht="38.25" customHeight="1" hidden="1">
      <c r="A29" s="211" t="s">
        <v>169</v>
      </c>
      <c r="B29" s="212"/>
      <c r="C29" s="212"/>
      <c r="D29" s="213"/>
      <c r="E29" s="85">
        <v>0.2</v>
      </c>
      <c r="F29" s="132"/>
      <c r="G29" s="167" t="str">
        <f>IF(OR(E29&lt;0,E29&gt;1),"Enter induced draft negative pressure as a positive number less than 1","Obtain value from customer")</f>
        <v>Obtain value from customer</v>
      </c>
    </row>
    <row r="30" spans="1:7" s="31" customFormat="1" ht="12.75" customHeight="1" hidden="1">
      <c r="A30" s="206" t="s">
        <v>170</v>
      </c>
      <c r="B30" s="206"/>
      <c r="C30" s="206"/>
      <c r="D30" s="206"/>
      <c r="E30" s="86">
        <v>36</v>
      </c>
      <c r="F30" s="86">
        <v>0</v>
      </c>
      <c r="G30" s="167" t="str">
        <f>IF(OR(E30&lt;0,F30&lt;0),"Opening area must be &gt;0","Obtain value from customer")</f>
        <v>Obtain value from customer</v>
      </c>
    </row>
    <row r="31" spans="1:7" s="31" customFormat="1" ht="12.75" hidden="1">
      <c r="A31" s="200" t="s">
        <v>171</v>
      </c>
      <c r="B31" s="201"/>
      <c r="C31" s="201"/>
      <c r="D31" s="202"/>
      <c r="E31" s="176">
        <f>'Induced Draft Tool'!E48</f>
        <v>21580.02372269317</v>
      </c>
      <c r="F31" s="176">
        <f>'Induced Draft Tool'!F48</f>
        <v>0</v>
      </c>
      <c r="G31" s="174" t="s">
        <v>222</v>
      </c>
    </row>
    <row r="32" spans="1:7" s="31" customFormat="1" ht="38.25" customHeight="1" hidden="1">
      <c r="A32" s="207" t="s">
        <v>172</v>
      </c>
      <c r="B32" s="207"/>
      <c r="C32" s="207"/>
      <c r="D32" s="207"/>
      <c r="E32" s="173">
        <f>'Induced Draft Tool'!E61</f>
        <v>1743525</v>
      </c>
      <c r="F32" s="173">
        <f>'Induced Draft Tool'!F61</f>
        <v>1635924.8901849687</v>
      </c>
      <c r="G32" s="174" t="s">
        <v>223</v>
      </c>
    </row>
    <row r="33" spans="1:7" s="31" customFormat="1" ht="25.5" hidden="1">
      <c r="A33" s="208" t="s">
        <v>173</v>
      </c>
      <c r="B33" s="208"/>
      <c r="C33" s="208"/>
      <c r="D33" s="208"/>
      <c r="E33" s="194">
        <f>'Induced Draft Tool'!E62</f>
        <v>0.06171411927849115</v>
      </c>
      <c r="F33" s="194"/>
      <c r="G33" s="174" t="s">
        <v>224</v>
      </c>
    </row>
    <row r="34" spans="1:7" s="125" customFormat="1" ht="25.5" customHeight="1" hidden="1">
      <c r="A34" s="181" t="s">
        <v>174</v>
      </c>
      <c r="B34" s="182"/>
      <c r="C34" s="182"/>
      <c r="D34" s="183"/>
      <c r="E34" s="199">
        <f>'Induced Draft Tool'!E63</f>
        <v>107600.10981503129</v>
      </c>
      <c r="F34" s="199"/>
      <c r="G34" s="174" t="s">
        <v>220</v>
      </c>
    </row>
    <row r="35" spans="1:7" s="125" customFormat="1" ht="15.75" hidden="1">
      <c r="A35" s="188" t="s">
        <v>192</v>
      </c>
      <c r="B35" s="189"/>
      <c r="C35" s="189"/>
      <c r="D35" s="189"/>
      <c r="E35" s="189"/>
      <c r="F35" s="190"/>
      <c r="G35" s="175"/>
    </row>
    <row r="36" spans="1:7" s="125" customFormat="1" ht="12.75" hidden="1">
      <c r="A36" s="191" t="s">
        <v>175</v>
      </c>
      <c r="B36" s="192"/>
      <c r="C36" s="192"/>
      <c r="D36" s="193"/>
      <c r="E36" s="180">
        <v>0.95</v>
      </c>
      <c r="F36" s="180"/>
      <c r="G36" s="157" t="str">
        <f>IF(E36&lt;=0,"Gas rate must be positive number","Customer gas rate")</f>
        <v>Customer gas rate</v>
      </c>
    </row>
    <row r="37" spans="1:7" s="125" customFormat="1" ht="15.75" hidden="1">
      <c r="A37" s="184" t="s">
        <v>176</v>
      </c>
      <c r="B37" s="185"/>
      <c r="C37" s="185"/>
      <c r="D37" s="186"/>
      <c r="E37" s="187">
        <f>E34*E36</f>
        <v>102220.10432427972</v>
      </c>
      <c r="F37" s="187"/>
      <c r="G37" s="156" t="s">
        <v>221</v>
      </c>
    </row>
    <row r="38" spans="1:12" s="124" customFormat="1" ht="15.75" hidden="1">
      <c r="A38" s="195" t="s">
        <v>116</v>
      </c>
      <c r="B38" s="196"/>
      <c r="C38" s="196"/>
      <c r="D38" s="196"/>
      <c r="E38" s="196"/>
      <c r="F38" s="197"/>
      <c r="G38" s="163"/>
      <c r="H38" s="123"/>
      <c r="I38" s="123"/>
      <c r="J38" s="123"/>
      <c r="K38" s="123"/>
      <c r="L38" s="123"/>
    </row>
    <row r="39" spans="1:7" s="31" customFormat="1" ht="12.75" hidden="1">
      <c r="A39" s="214" t="s">
        <v>177</v>
      </c>
      <c r="B39" s="215"/>
      <c r="C39" s="215"/>
      <c r="D39" s="216"/>
      <c r="E39" s="152">
        <v>20</v>
      </c>
      <c r="F39" s="132"/>
      <c r="G39" s="167" t="str">
        <f>IF(OR(E39&lt;0),"Stack height must be &gt;=0","Obtain value from customer")</f>
        <v>Obtain value from customer</v>
      </c>
    </row>
    <row r="40" spans="1:7" s="31" customFormat="1" ht="25.5" customHeight="1" hidden="1">
      <c r="A40" s="214" t="s">
        <v>178</v>
      </c>
      <c r="B40" s="215"/>
      <c r="C40" s="215"/>
      <c r="D40" s="216"/>
      <c r="E40" s="152">
        <v>4</v>
      </c>
      <c r="F40" s="132"/>
      <c r="G40" s="167" t="str">
        <f>IF(OR(E40&lt;0),"Stack inside diameter must be &gt;=0","Obtain value from customer")</f>
        <v>Obtain value from customer</v>
      </c>
    </row>
    <row r="41" spans="1:7" s="31" customFormat="1" ht="12.75" hidden="1">
      <c r="A41" s="206" t="s">
        <v>179</v>
      </c>
      <c r="B41" s="206"/>
      <c r="C41" s="206"/>
      <c r="D41" s="206"/>
      <c r="E41" s="86">
        <v>36</v>
      </c>
      <c r="F41" s="86">
        <v>0</v>
      </c>
      <c r="G41" s="167" t="str">
        <f>IF(OR(E41&lt;0,F41&lt;0),"Opening area must be &gt;=0","Obtain value from customer")</f>
        <v>Obtain value from customer</v>
      </c>
    </row>
    <row r="42" spans="1:7" s="31" customFormat="1" ht="12.75" hidden="1">
      <c r="A42" s="217" t="s">
        <v>180</v>
      </c>
      <c r="B42" s="218"/>
      <c r="C42" s="218"/>
      <c r="D42" s="219"/>
      <c r="E42" s="176">
        <f>'Stack Draft Tool'!E59</f>
        <v>21299.78494241785</v>
      </c>
      <c r="F42" s="176">
        <f>'Stack Draft Tool'!F59</f>
        <v>0</v>
      </c>
      <c r="G42" s="174" t="s">
        <v>222</v>
      </c>
    </row>
    <row r="43" spans="1:7" s="31" customFormat="1" ht="38.25" hidden="1">
      <c r="A43" s="220" t="s">
        <v>181</v>
      </c>
      <c r="B43" s="220"/>
      <c r="C43" s="220"/>
      <c r="D43" s="220"/>
      <c r="E43" s="173">
        <f>'Stack Draft Tool'!E72</f>
        <v>1743525</v>
      </c>
      <c r="F43" s="173">
        <f>'Stack Draft Tool'!F72</f>
        <v>1637322.1881638558</v>
      </c>
      <c r="G43" s="174" t="s">
        <v>223</v>
      </c>
    </row>
    <row r="44" spans="1:7" s="31" customFormat="1" ht="25.5" hidden="1">
      <c r="A44" s="198" t="s">
        <v>182</v>
      </c>
      <c r="B44" s="198"/>
      <c r="C44" s="198"/>
      <c r="D44" s="198"/>
      <c r="E44" s="194">
        <f>'Stack Draft Tool'!E73</f>
        <v>0.06091269803194344</v>
      </c>
      <c r="F44" s="194"/>
      <c r="G44" s="174" t="s">
        <v>224</v>
      </c>
    </row>
    <row r="45" spans="1:7" s="125" customFormat="1" ht="25.5" customHeight="1" hidden="1">
      <c r="A45" s="181" t="s">
        <v>183</v>
      </c>
      <c r="B45" s="182"/>
      <c r="C45" s="182"/>
      <c r="D45" s="183"/>
      <c r="E45" s="199">
        <f>'Stack Draft Tool'!E74</f>
        <v>106202.81183614419</v>
      </c>
      <c r="F45" s="199"/>
      <c r="G45" s="174" t="s">
        <v>220</v>
      </c>
    </row>
    <row r="46" spans="1:7" s="31" customFormat="1" ht="15.75" hidden="1">
      <c r="A46" s="188" t="s">
        <v>189</v>
      </c>
      <c r="B46" s="189"/>
      <c r="C46" s="189"/>
      <c r="D46" s="189"/>
      <c r="E46" s="189"/>
      <c r="F46" s="190"/>
      <c r="G46" s="168"/>
    </row>
    <row r="47" spans="1:7" s="31" customFormat="1" ht="12.75" hidden="1">
      <c r="A47" s="191" t="s">
        <v>184</v>
      </c>
      <c r="B47" s="192"/>
      <c r="C47" s="192"/>
      <c r="D47" s="193"/>
      <c r="E47" s="180">
        <v>0.95</v>
      </c>
      <c r="F47" s="180"/>
      <c r="G47" s="157" t="str">
        <f>IF(E47&lt;=0,"Gas rate must be positive number","Customer gas rate")</f>
        <v>Customer gas rate</v>
      </c>
    </row>
    <row r="48" spans="1:7" s="31" customFormat="1" ht="15.75" hidden="1">
      <c r="A48" s="184" t="s">
        <v>185</v>
      </c>
      <c r="B48" s="185"/>
      <c r="C48" s="185"/>
      <c r="D48" s="186"/>
      <c r="E48" s="187">
        <f>E45*E47</f>
        <v>100892.67124433698</v>
      </c>
      <c r="F48" s="187"/>
      <c r="G48" s="156" t="s">
        <v>221</v>
      </c>
    </row>
    <row r="49" spans="1:7" s="31" customFormat="1" ht="12.75">
      <c r="A49" s="177" t="s">
        <v>165</v>
      </c>
      <c r="B49" s="177"/>
      <c r="C49" s="177"/>
      <c r="D49" s="168"/>
      <c r="E49" s="168"/>
      <c r="F49" s="168"/>
      <c r="G49" s="169"/>
    </row>
    <row r="50" spans="1:7" s="31" customFormat="1" ht="12.75" customHeight="1">
      <c r="A50" s="84"/>
      <c r="B50" s="84"/>
      <c r="C50" s="84"/>
      <c r="D50" s="83"/>
      <c r="E50" s="83"/>
      <c r="F50" s="83"/>
      <c r="G50" s="170"/>
    </row>
    <row r="51" spans="1:6" ht="72" customHeight="1">
      <c r="A51" s="238" t="s">
        <v>235</v>
      </c>
      <c r="B51" s="239"/>
      <c r="C51" s="239"/>
      <c r="D51" s="239"/>
      <c r="E51" s="239"/>
      <c r="F51" s="239"/>
    </row>
  </sheetData>
  <sheetProtection sheet="1" objects="1" scenarios="1"/>
  <mergeCells count="57">
    <mergeCell ref="A51:F51"/>
    <mergeCell ref="A21:D21"/>
    <mergeCell ref="A12:C12"/>
    <mergeCell ref="A13:C13"/>
    <mergeCell ref="A18:D18"/>
    <mergeCell ref="A15:D15"/>
    <mergeCell ref="A19:D19"/>
    <mergeCell ref="A24:D24"/>
    <mergeCell ref="A14:D14"/>
    <mergeCell ref="E24:F24"/>
    <mergeCell ref="A8:C9"/>
    <mergeCell ref="E8:F8"/>
    <mergeCell ref="D8:D9"/>
    <mergeCell ref="A11:C11"/>
    <mergeCell ref="A10:F10"/>
    <mergeCell ref="F11:F15"/>
    <mergeCell ref="A22:D22"/>
    <mergeCell ref="A23:D23"/>
    <mergeCell ref="E23:F23"/>
    <mergeCell ref="A16:F16"/>
    <mergeCell ref="A20:F20"/>
    <mergeCell ref="A17:D17"/>
    <mergeCell ref="E45:F45"/>
    <mergeCell ref="A39:D39"/>
    <mergeCell ref="A40:D40"/>
    <mergeCell ref="A42:D42"/>
    <mergeCell ref="A41:D41"/>
    <mergeCell ref="A43:D43"/>
    <mergeCell ref="E34:F34"/>
    <mergeCell ref="E33:F33"/>
    <mergeCell ref="A31:D31"/>
    <mergeCell ref="A4:F4"/>
    <mergeCell ref="A25:F25"/>
    <mergeCell ref="A30:D30"/>
    <mergeCell ref="A32:D32"/>
    <mergeCell ref="A33:D33"/>
    <mergeCell ref="A28:F28"/>
    <mergeCell ref="A29:D29"/>
    <mergeCell ref="E26:F26"/>
    <mergeCell ref="E27:F27"/>
    <mergeCell ref="A26:D26"/>
    <mergeCell ref="A27:D27"/>
    <mergeCell ref="A38:F38"/>
    <mergeCell ref="A44:D44"/>
    <mergeCell ref="A35:F35"/>
    <mergeCell ref="A36:D36"/>
    <mergeCell ref="E36:F36"/>
    <mergeCell ref="A34:D34"/>
    <mergeCell ref="A45:D45"/>
    <mergeCell ref="A48:D48"/>
    <mergeCell ref="E48:F48"/>
    <mergeCell ref="A37:D37"/>
    <mergeCell ref="E37:F37"/>
    <mergeCell ref="A46:F46"/>
    <mergeCell ref="A47:D47"/>
    <mergeCell ref="E47:F47"/>
    <mergeCell ref="E44:F44"/>
  </mergeCells>
  <conditionalFormatting sqref="G12">
    <cfRule type="expression" priority="1" dxfId="0" stopIfTrue="1">
      <formula>OR(E12&lt;0,E12&gt;8768)</formula>
    </cfRule>
  </conditionalFormatting>
  <conditionalFormatting sqref="G13">
    <cfRule type="expression" priority="2" dxfId="0" stopIfTrue="1">
      <formula>OR(E13&lt;=0%,E13&gt;100%)</formula>
    </cfRule>
  </conditionalFormatting>
  <conditionalFormatting sqref="G18">
    <cfRule type="expression" priority="3" dxfId="0" stopIfTrue="1">
      <formula>OR(E18&lt;0,E18&gt;1,F18&lt;0,F18&gt;1)</formula>
    </cfRule>
  </conditionalFormatting>
  <conditionalFormatting sqref="G19">
    <cfRule type="expression" priority="4" dxfId="0" stopIfTrue="1">
      <formula>OR(E19&lt;0,E19&gt;E17,F19&lt;0,F19&gt;F17)</formula>
    </cfRule>
  </conditionalFormatting>
  <conditionalFormatting sqref="G29">
    <cfRule type="expression" priority="5" dxfId="0" stopIfTrue="1">
      <formula>OR(E29&lt;0,E29&gt;1)</formula>
    </cfRule>
  </conditionalFormatting>
  <conditionalFormatting sqref="G30 G41">
    <cfRule type="expression" priority="6" dxfId="0" stopIfTrue="1">
      <formula>OR(E30&lt;0,F30&lt;0)</formula>
    </cfRule>
  </conditionalFormatting>
  <conditionalFormatting sqref="G39:G40">
    <cfRule type="expression" priority="7" dxfId="0" stopIfTrue="1">
      <formula>OR(E39&lt;0)</formula>
    </cfRule>
  </conditionalFormatting>
  <conditionalFormatting sqref="G17">
    <cfRule type="expression" priority="8" dxfId="0" stopIfTrue="1">
      <formula>OR(E17&lt;200,E17&gt;3000,F17&lt;200,F17&gt;3000)</formula>
    </cfRule>
  </conditionalFormatting>
  <conditionalFormatting sqref="E11">
    <cfRule type="cellIs" priority="9" dxfId="0" operator="lessThanOrEqual" stopIfTrue="1">
      <formula>0</formula>
    </cfRule>
  </conditionalFormatting>
  <conditionalFormatting sqref="G11">
    <cfRule type="expression" priority="10" dxfId="0" stopIfTrue="1">
      <formula>$E$11&lt;=0</formula>
    </cfRule>
  </conditionalFormatting>
  <conditionalFormatting sqref="E12">
    <cfRule type="cellIs" priority="11" dxfId="0" operator="notBetween" stopIfTrue="1">
      <formula>1</formula>
      <formula>8768</formula>
    </cfRule>
  </conditionalFormatting>
  <conditionalFormatting sqref="E13">
    <cfRule type="cellIs" priority="12" dxfId="0" operator="lessThanOrEqual" stopIfTrue="1">
      <formula>0</formula>
    </cfRule>
    <cfRule type="cellIs" priority="13" dxfId="0" operator="greaterThan" stopIfTrue="1">
      <formula>1</formula>
    </cfRule>
  </conditionalFormatting>
  <conditionalFormatting sqref="E18:F18 E29">
    <cfRule type="cellIs" priority="14" dxfId="0" operator="notBetween" stopIfTrue="1">
      <formula>0</formula>
      <formula>1</formula>
    </cfRule>
  </conditionalFormatting>
  <conditionalFormatting sqref="E19:F19">
    <cfRule type="cellIs" priority="15" dxfId="0" operator="notBetween" stopIfTrue="1">
      <formula>0</formula>
      <formula>$E$17</formula>
    </cfRule>
  </conditionalFormatting>
  <conditionalFormatting sqref="E30:F30 E39:E40 E41:F41">
    <cfRule type="cellIs" priority="16" dxfId="0" operator="lessThan" stopIfTrue="1">
      <formula>0</formula>
    </cfRule>
  </conditionalFormatting>
  <conditionalFormatting sqref="E17:F17">
    <cfRule type="cellIs" priority="17" dxfId="0" operator="notBetween" stopIfTrue="1">
      <formula>200</formula>
      <formula>3000</formula>
    </cfRule>
  </conditionalFormatting>
  <conditionalFormatting sqref="G26">
    <cfRule type="expression" priority="18" dxfId="0" stopIfTrue="1">
      <formula>$E$26&lt;=0</formula>
    </cfRule>
  </conditionalFormatting>
  <conditionalFormatting sqref="G36">
    <cfRule type="expression" priority="19" dxfId="0" stopIfTrue="1">
      <formula>$E$36&lt;=0</formula>
    </cfRule>
  </conditionalFormatting>
  <conditionalFormatting sqref="G47">
    <cfRule type="expression" priority="20" dxfId="0" stopIfTrue="1">
      <formula>$E$47&lt;=0</formula>
    </cfRule>
  </conditionalFormatting>
  <printOptions/>
  <pageMargins left="0.75" right="0.75" top="1" bottom="1" header="0.5" footer="0.5"/>
  <pageSetup fitToHeight="0" fitToWidth="1" horizontalDpi="600" verticalDpi="600" orientation="portrait" r:id="rId4"/>
  <headerFooter alignWithMargins="0">
    <oddFooter>&amp;L&amp;F / &amp;A&amp;C&amp;P of &amp;N&amp;R&amp;D</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1">
    <pageSetUpPr fitToPage="1"/>
  </sheetPr>
  <dimension ref="A1:E230"/>
  <sheetViews>
    <sheetView showGridLines="0" zoomScaleSheetLayoutView="100" workbookViewId="0" topLeftCell="A1">
      <selection activeCell="A4" sqref="A4"/>
    </sheetView>
  </sheetViews>
  <sheetFormatPr defaultColWidth="9.140625" defaultRowHeight="12.75"/>
  <cols>
    <col min="1" max="3" width="7.7109375" style="0" customWidth="1"/>
    <col min="4" max="4" width="65.421875" style="0" customWidth="1"/>
  </cols>
  <sheetData>
    <row r="1" spans="1:4" ht="35.25">
      <c r="A1" s="6"/>
      <c r="B1" s="1"/>
      <c r="C1" s="1"/>
      <c r="D1" s="7" t="s">
        <v>126</v>
      </c>
    </row>
    <row r="2" spans="1:4" ht="35.25">
      <c r="A2" s="6"/>
      <c r="B2" s="1"/>
      <c r="C2" s="1"/>
      <c r="D2" s="7" t="s">
        <v>127</v>
      </c>
    </row>
    <row r="3" spans="1:4" s="8" customFormat="1" ht="12.75" customHeight="1">
      <c r="A3" s="10"/>
      <c r="B3" s="11"/>
      <c r="C3" s="11"/>
      <c r="D3" s="12"/>
    </row>
    <row r="4" spans="1:3" s="8" customFormat="1" ht="12.75" customHeight="1">
      <c r="A4" s="13"/>
      <c r="B4" s="9"/>
      <c r="C4" s="9"/>
    </row>
    <row r="5" spans="1:3" s="16" customFormat="1" ht="12.75" customHeight="1">
      <c r="A5" s="133" t="s">
        <v>186</v>
      </c>
      <c r="B5" s="15"/>
      <c r="C5" s="15"/>
    </row>
    <row r="6" spans="1:3" s="16" customFormat="1" ht="12.75" customHeight="1">
      <c r="A6" s="14"/>
      <c r="B6" s="20" t="s">
        <v>187</v>
      </c>
      <c r="C6" s="17"/>
    </row>
    <row r="7" spans="1:4" s="16" customFormat="1" ht="25.5" customHeight="1">
      <c r="A7" s="14"/>
      <c r="B7" s="20"/>
      <c r="C7" s="245" t="s">
        <v>225</v>
      </c>
      <c r="D7" s="245"/>
    </row>
    <row r="8" spans="1:4" s="16" customFormat="1" ht="25.5" customHeight="1">
      <c r="A8" s="14"/>
      <c r="B8" s="20"/>
      <c r="C8" s="245" t="s">
        <v>227</v>
      </c>
      <c r="D8" s="245"/>
    </row>
    <row r="9" spans="1:4" s="16" customFormat="1" ht="25.5" customHeight="1">
      <c r="A9" s="14"/>
      <c r="B9" s="20"/>
      <c r="C9" s="246" t="s">
        <v>226</v>
      </c>
      <c r="D9" s="246"/>
    </row>
    <row r="10" spans="1:4" s="16" customFormat="1" ht="12.75" customHeight="1">
      <c r="A10" s="14"/>
      <c r="B10" s="244" t="s">
        <v>228</v>
      </c>
      <c r="C10" s="244"/>
      <c r="D10" s="244"/>
    </row>
    <row r="11" spans="1:3" s="16" customFormat="1" ht="12.75" customHeight="1">
      <c r="A11" s="14"/>
      <c r="B11" s="17"/>
      <c r="C11" s="17"/>
    </row>
    <row r="12" spans="1:3" s="20" customFormat="1" ht="12.75" customHeight="1">
      <c r="A12" s="133" t="s">
        <v>193</v>
      </c>
      <c r="B12" s="19"/>
      <c r="C12" s="19"/>
    </row>
    <row r="13" spans="1:3" s="20" customFormat="1" ht="12.75" customHeight="1">
      <c r="A13" s="18"/>
      <c r="B13" s="135" t="s">
        <v>161</v>
      </c>
      <c r="C13" s="19"/>
    </row>
    <row r="14" spans="1:4" s="20" customFormat="1" ht="12.75">
      <c r="A14" s="18"/>
      <c r="B14" s="19"/>
      <c r="C14" s="23" t="s">
        <v>15</v>
      </c>
      <c r="D14" s="24"/>
    </row>
    <row r="15" spans="1:4" s="20" customFormat="1" ht="12.75">
      <c r="A15" s="18"/>
      <c r="C15" s="23" t="s">
        <v>16</v>
      </c>
      <c r="D15" s="24"/>
    </row>
    <row r="16" spans="3:4" s="20" customFormat="1" ht="12.75">
      <c r="C16" s="21" t="s">
        <v>129</v>
      </c>
      <c r="D16" s="22"/>
    </row>
    <row r="17" spans="3:4" s="20" customFormat="1" ht="12.75">
      <c r="C17" s="21"/>
      <c r="D17" s="22" t="s">
        <v>128</v>
      </c>
    </row>
    <row r="18" spans="3:4" s="20" customFormat="1" ht="12.75">
      <c r="C18" s="21"/>
      <c r="D18" s="22" t="s">
        <v>13</v>
      </c>
    </row>
    <row r="19" spans="3:4" s="20" customFormat="1" ht="12.75">
      <c r="C19" s="21" t="s">
        <v>130</v>
      </c>
      <c r="D19" s="22"/>
    </row>
    <row r="20" spans="3:4" s="20" customFormat="1" ht="12.75">
      <c r="C20" s="21" t="s">
        <v>131</v>
      </c>
      <c r="D20" s="22"/>
    </row>
    <row r="21" spans="2:4" s="20" customFormat="1" ht="12.75">
      <c r="B21" s="27" t="s">
        <v>14</v>
      </c>
      <c r="C21" s="19"/>
      <c r="D21" s="24"/>
    </row>
    <row r="22" spans="3:4" s="20" customFormat="1" ht="12.75">
      <c r="C22" s="21" t="s">
        <v>132</v>
      </c>
      <c r="D22" s="24"/>
    </row>
    <row r="23" spans="3:4" s="20" customFormat="1" ht="12.75">
      <c r="C23" s="21"/>
      <c r="D23" s="153" t="s">
        <v>215</v>
      </c>
    </row>
    <row r="24" spans="3:4" s="20" customFormat="1" ht="12.75">
      <c r="C24" s="21" t="s">
        <v>133</v>
      </c>
      <c r="D24" s="24"/>
    </row>
    <row r="25" spans="3:4" s="20" customFormat="1" ht="12.75">
      <c r="C25" s="21"/>
      <c r="D25" s="153" t="s">
        <v>216</v>
      </c>
    </row>
    <row r="26" spans="3:4" s="20" customFormat="1" ht="12.75">
      <c r="C26" s="21"/>
      <c r="D26" s="24"/>
    </row>
    <row r="27" spans="1:4" s="20" customFormat="1" ht="15">
      <c r="A27" s="133" t="s">
        <v>194</v>
      </c>
      <c r="D27" s="24"/>
    </row>
    <row r="28" spans="2:4" s="20" customFormat="1" ht="12.75">
      <c r="B28" s="135" t="s">
        <v>161</v>
      </c>
      <c r="D28" s="24"/>
    </row>
    <row r="29" spans="3:4" s="20" customFormat="1" ht="12.75">
      <c r="C29" s="20" t="s">
        <v>138</v>
      </c>
      <c r="D29" s="24"/>
    </row>
    <row r="30" spans="3:4" s="20" customFormat="1" ht="12.75">
      <c r="C30" s="20" t="s">
        <v>136</v>
      </c>
      <c r="D30" s="24"/>
    </row>
    <row r="31" s="20" customFormat="1" ht="63.75" customHeight="1">
      <c r="D31" s="22" t="s">
        <v>232</v>
      </c>
    </row>
    <row r="32" spans="3:4" s="20" customFormat="1" ht="12.75">
      <c r="C32" s="20" t="s">
        <v>137</v>
      </c>
      <c r="D32" s="24"/>
    </row>
    <row r="33" s="20" customFormat="1" ht="25.5">
      <c r="D33" s="24" t="s">
        <v>17</v>
      </c>
    </row>
    <row r="34" spans="3:4" s="20" customFormat="1" ht="12.75">
      <c r="C34" s="21" t="s">
        <v>140</v>
      </c>
      <c r="D34" s="24"/>
    </row>
    <row r="35" spans="3:4" s="20" customFormat="1" ht="25.5">
      <c r="C35" s="21"/>
      <c r="D35" s="24" t="s">
        <v>18</v>
      </c>
    </row>
    <row r="36" spans="3:4" s="20" customFormat="1" ht="25.5">
      <c r="C36" s="21"/>
      <c r="D36" s="24" t="s">
        <v>141</v>
      </c>
    </row>
    <row r="37" spans="3:4" s="20" customFormat="1" ht="12.75" customHeight="1">
      <c r="C37" s="21"/>
      <c r="D37" s="24" t="s">
        <v>19</v>
      </c>
    </row>
    <row r="38" spans="3:4" s="20" customFormat="1" ht="12.75" customHeight="1">
      <c r="C38" s="21"/>
      <c r="D38" s="24"/>
    </row>
    <row r="39" spans="1:4" s="20" customFormat="1" ht="12.75" customHeight="1">
      <c r="A39" s="133" t="s">
        <v>148</v>
      </c>
      <c r="C39" s="21"/>
      <c r="D39" s="24"/>
    </row>
    <row r="40" spans="2:4" s="20" customFormat="1" ht="12.75">
      <c r="B40" s="27" t="s">
        <v>14</v>
      </c>
      <c r="C40" s="21"/>
      <c r="D40" s="25"/>
    </row>
    <row r="41" spans="3:4" s="20" customFormat="1" ht="12.75">
      <c r="C41" s="21" t="s">
        <v>139</v>
      </c>
      <c r="D41" s="24"/>
    </row>
    <row r="42" spans="3:4" s="20" customFormat="1" ht="12.75" customHeight="1">
      <c r="C42" s="21"/>
      <c r="D42" s="24" t="s">
        <v>20</v>
      </c>
    </row>
    <row r="43" s="20" customFormat="1" ht="12.75">
      <c r="D43" s="26" t="s">
        <v>21</v>
      </c>
    </row>
    <row r="44" s="20" customFormat="1" ht="12.75">
      <c r="D44" s="154" t="s">
        <v>217</v>
      </c>
    </row>
    <row r="45" spans="3:4" s="20" customFormat="1" ht="12.75">
      <c r="C45" s="21" t="s">
        <v>142</v>
      </c>
      <c r="D45" s="26"/>
    </row>
    <row r="46" s="20" customFormat="1" ht="12.75">
      <c r="D46" s="26" t="s">
        <v>143</v>
      </c>
    </row>
    <row r="47" s="20" customFormat="1" ht="25.5">
      <c r="D47" s="154" t="s">
        <v>218</v>
      </c>
    </row>
    <row r="48" spans="3:4" s="20" customFormat="1" ht="12.75">
      <c r="C48" s="21" t="s">
        <v>144</v>
      </c>
      <c r="D48" s="26"/>
    </row>
    <row r="49" s="20" customFormat="1" ht="12.75">
      <c r="D49" s="26" t="s">
        <v>145</v>
      </c>
    </row>
    <row r="50" s="20" customFormat="1" ht="12.75">
      <c r="D50" s="154" t="s">
        <v>219</v>
      </c>
    </row>
    <row r="51" spans="2:4" s="20" customFormat="1" ht="12.75">
      <c r="B51" s="27" t="s">
        <v>22</v>
      </c>
      <c r="D51" s="26"/>
    </row>
    <row r="52" spans="3:4" s="20" customFormat="1" ht="12.75">
      <c r="C52" s="21" t="s">
        <v>146</v>
      </c>
      <c r="D52" s="26"/>
    </row>
    <row r="53" s="20" customFormat="1" ht="12.75">
      <c r="D53" s="26" t="s">
        <v>147</v>
      </c>
    </row>
    <row r="54" s="20" customFormat="1" ht="12.75">
      <c r="D54" s="154" t="s">
        <v>220</v>
      </c>
    </row>
    <row r="55" spans="2:4" s="20" customFormat="1" ht="12.75">
      <c r="B55" s="21"/>
      <c r="C55" s="21"/>
      <c r="D55" s="24"/>
    </row>
    <row r="56" spans="1:4" s="20" customFormat="1" ht="15">
      <c r="A56" s="134" t="s">
        <v>188</v>
      </c>
      <c r="B56" s="130"/>
      <c r="C56" s="130"/>
      <c r="D56" s="130"/>
    </row>
    <row r="57" spans="1:4" s="20" customFormat="1" ht="12.75">
      <c r="A57" s="130"/>
      <c r="B57" s="135" t="s">
        <v>161</v>
      </c>
      <c r="C57" s="136"/>
      <c r="D57" s="136"/>
    </row>
    <row r="58" spans="1:4" s="20" customFormat="1" ht="12.75">
      <c r="A58" s="130"/>
      <c r="B58" s="130"/>
      <c r="C58" s="130" t="s">
        <v>195</v>
      </c>
      <c r="D58" s="130"/>
    </row>
    <row r="59" spans="1:4" s="20" customFormat="1" ht="12.75">
      <c r="A59" s="130"/>
      <c r="B59" s="130"/>
      <c r="C59" s="130"/>
      <c r="D59" s="131" t="s">
        <v>162</v>
      </c>
    </row>
    <row r="60" spans="1:4" s="20" customFormat="1" ht="12.75">
      <c r="A60" s="130"/>
      <c r="B60" s="137" t="s">
        <v>22</v>
      </c>
      <c r="C60" s="138"/>
      <c r="D60" s="139"/>
    </row>
    <row r="61" spans="1:4" s="20" customFormat="1" ht="12.75">
      <c r="A61" s="130"/>
      <c r="B61" s="138"/>
      <c r="C61" s="140" t="s">
        <v>196</v>
      </c>
      <c r="D61" s="139"/>
    </row>
    <row r="62" spans="1:4" s="20" customFormat="1" ht="12.75">
      <c r="A62" s="130"/>
      <c r="B62" s="138"/>
      <c r="C62" s="138"/>
      <c r="D62" s="139" t="s">
        <v>163</v>
      </c>
    </row>
    <row r="63" spans="1:4" s="20" customFormat="1" ht="12.75">
      <c r="A63" s="130"/>
      <c r="B63" s="138"/>
      <c r="C63" s="138"/>
      <c r="D63" s="156" t="s">
        <v>221</v>
      </c>
    </row>
    <row r="64" spans="1:4" s="20" customFormat="1" ht="12.75">
      <c r="A64" s="130"/>
      <c r="B64" s="138"/>
      <c r="C64" s="138"/>
      <c r="D64" s="156"/>
    </row>
    <row r="65" spans="1:4" s="20" customFormat="1" ht="15">
      <c r="A65" s="133" t="s">
        <v>229</v>
      </c>
      <c r="B65" s="138"/>
      <c r="C65" s="138"/>
      <c r="D65" s="156"/>
    </row>
    <row r="66" spans="1:4" s="20" customFormat="1" ht="12.75">
      <c r="A66" s="130"/>
      <c r="B66" s="138"/>
      <c r="C66" s="138"/>
      <c r="D66" s="156"/>
    </row>
    <row r="67" spans="1:4" s="20" customFormat="1" ht="12.75">
      <c r="A67" s="130"/>
      <c r="B67" s="138"/>
      <c r="C67" s="138"/>
      <c r="D67" s="156"/>
    </row>
    <row r="68" spans="1:4" s="20" customFormat="1" ht="12.75">
      <c r="A68" s="130"/>
      <c r="B68" s="138"/>
      <c r="C68" s="138"/>
      <c r="D68" s="156"/>
    </row>
    <row r="69" spans="1:4" s="20" customFormat="1" ht="12.75">
      <c r="A69" s="130"/>
      <c r="B69" s="138"/>
      <c r="C69" s="138"/>
      <c r="D69" s="156"/>
    </row>
    <row r="70" spans="1:4" s="20" customFormat="1" ht="12.75">
      <c r="A70" s="130"/>
      <c r="B70" s="138"/>
      <c r="C70" s="138"/>
      <c r="D70" s="156"/>
    </row>
    <row r="71" spans="1:4" s="20" customFormat="1" ht="12.75">
      <c r="A71" s="130"/>
      <c r="B71" s="138"/>
      <c r="C71" s="138"/>
      <c r="D71" s="156"/>
    </row>
    <row r="72" spans="1:4" s="20" customFormat="1" ht="12.75">
      <c r="A72" s="130"/>
      <c r="B72" s="138"/>
      <c r="C72" s="138"/>
      <c r="D72" s="156"/>
    </row>
    <row r="73" spans="1:4" s="20" customFormat="1" ht="12.75">
      <c r="A73" s="130"/>
      <c r="B73" s="138"/>
      <c r="C73" s="138"/>
      <c r="D73" s="156"/>
    </row>
    <row r="74" spans="1:4" s="20" customFormat="1" ht="12.75">
      <c r="A74" s="130"/>
      <c r="B74" s="138"/>
      <c r="C74" s="138"/>
      <c r="D74" s="156"/>
    </row>
    <row r="75" spans="1:4" s="20" customFormat="1" ht="12.75">
      <c r="A75" s="130"/>
      <c r="B75" s="138"/>
      <c r="C75" s="138"/>
      <c r="D75" s="156"/>
    </row>
    <row r="76" spans="1:4" s="20" customFormat="1" ht="12.75">
      <c r="A76" s="130"/>
      <c r="B76" s="138"/>
      <c r="C76" s="138"/>
      <c r="D76" s="156"/>
    </row>
    <row r="77" spans="1:4" s="20" customFormat="1" ht="12.75">
      <c r="A77" s="130"/>
      <c r="B77" s="138"/>
      <c r="C77" s="138"/>
      <c r="D77" s="156"/>
    </row>
    <row r="78" spans="1:4" s="20" customFormat="1" ht="12.75">
      <c r="A78" s="130"/>
      <c r="B78" s="138"/>
      <c r="C78" s="138"/>
      <c r="D78" s="156"/>
    </row>
    <row r="79" spans="1:4" s="20" customFormat="1" ht="12.75">
      <c r="A79" s="130"/>
      <c r="B79" s="138"/>
      <c r="C79" s="138"/>
      <c r="D79" s="156"/>
    </row>
    <row r="80" spans="1:4" s="20" customFormat="1" ht="12.75">
      <c r="A80" s="130"/>
      <c r="B80" s="138"/>
      <c r="C80" s="138"/>
      <c r="D80" s="156"/>
    </row>
    <row r="81" spans="1:4" s="20" customFormat="1" ht="12.75">
      <c r="A81" s="130"/>
      <c r="B81" s="138"/>
      <c r="C81" s="138"/>
      <c r="D81" s="156"/>
    </row>
    <row r="82" spans="1:4" s="20" customFormat="1" ht="12.75">
      <c r="A82" s="130"/>
      <c r="B82" s="138"/>
      <c r="C82" s="138"/>
      <c r="D82" s="156"/>
    </row>
    <row r="83" spans="1:4" s="20" customFormat="1" ht="12.75">
      <c r="A83" s="130"/>
      <c r="B83" s="138"/>
      <c r="C83" s="138"/>
      <c r="D83" s="156"/>
    </row>
    <row r="84" spans="1:4" s="20" customFormat="1" ht="12.75">
      <c r="A84" s="130"/>
      <c r="B84" s="138"/>
      <c r="C84" s="138"/>
      <c r="D84" s="156"/>
    </row>
    <row r="85" spans="1:4" s="20" customFormat="1" ht="12.75">
      <c r="A85" s="130"/>
      <c r="B85" s="138"/>
      <c r="C85" s="138"/>
      <c r="D85" s="156"/>
    </row>
    <row r="86" spans="1:4" s="20" customFormat="1" ht="12.75">
      <c r="A86" s="130"/>
      <c r="B86" s="138"/>
      <c r="C86" s="138"/>
      <c r="D86" s="156"/>
    </row>
    <row r="87" spans="1:4" s="20" customFormat="1" ht="12.75">
      <c r="A87" s="130"/>
      <c r="B87" s="138"/>
      <c r="C87" s="138"/>
      <c r="D87" s="156"/>
    </row>
    <row r="88" spans="1:4" s="20" customFormat="1" ht="12.75">
      <c r="A88" s="130"/>
      <c r="B88" s="138"/>
      <c r="C88" s="138"/>
      <c r="D88" s="156"/>
    </row>
    <row r="89" spans="1:4" s="20" customFormat="1" ht="12.75">
      <c r="A89" s="130"/>
      <c r="B89" s="138"/>
      <c r="C89" s="138"/>
      <c r="D89" s="156"/>
    </row>
    <row r="90" spans="1:4" s="20" customFormat="1" ht="12.75">
      <c r="A90" s="130"/>
      <c r="B90" s="138"/>
      <c r="C90" s="138"/>
      <c r="D90" s="156"/>
    </row>
    <row r="91" spans="1:4" s="20" customFormat="1" ht="12.75">
      <c r="A91" s="130"/>
      <c r="B91" s="138"/>
      <c r="C91" s="138"/>
      <c r="D91" s="156"/>
    </row>
    <row r="92" spans="1:4" s="20" customFormat="1" ht="12.75">
      <c r="A92" s="130"/>
      <c r="B92" s="138"/>
      <c r="C92" s="138"/>
      <c r="D92" s="156"/>
    </row>
    <row r="93" spans="1:4" s="20" customFormat="1" ht="12.75">
      <c r="A93" s="130"/>
      <c r="B93" s="138"/>
      <c r="C93" s="138"/>
      <c r="D93" s="156"/>
    </row>
    <row r="94" spans="1:4" s="20" customFormat="1" ht="12.75">
      <c r="A94" s="130"/>
      <c r="B94" s="138"/>
      <c r="C94" s="138"/>
      <c r="D94" s="156"/>
    </row>
    <row r="95" spans="1:4" s="20" customFormat="1" ht="12.75">
      <c r="A95" s="130"/>
      <c r="B95" s="138"/>
      <c r="C95" s="138"/>
      <c r="D95" s="156"/>
    </row>
    <row r="96" spans="1:4" s="20" customFormat="1" ht="15">
      <c r="A96" s="133" t="s">
        <v>115</v>
      </c>
      <c r="D96" s="21"/>
    </row>
    <row r="97" spans="1:4" s="20" customFormat="1" ht="12.75">
      <c r="A97" s="18"/>
      <c r="B97" s="135" t="s">
        <v>161</v>
      </c>
      <c r="D97" s="21"/>
    </row>
    <row r="98" spans="3:4" s="20" customFormat="1" ht="12.75">
      <c r="C98" s="21" t="s">
        <v>197</v>
      </c>
      <c r="D98" s="26"/>
    </row>
    <row r="99" s="20" customFormat="1" ht="25.5">
      <c r="D99" s="26" t="s">
        <v>149</v>
      </c>
    </row>
    <row r="100" spans="3:4" s="20" customFormat="1" ht="12.75">
      <c r="C100" s="21" t="s">
        <v>198</v>
      </c>
      <c r="D100" s="26"/>
    </row>
    <row r="101" s="20" customFormat="1" ht="63.75">
      <c r="D101" s="26" t="s">
        <v>214</v>
      </c>
    </row>
    <row r="102" spans="2:4" s="20" customFormat="1" ht="12.75">
      <c r="B102" s="27" t="s">
        <v>14</v>
      </c>
      <c r="D102" s="24"/>
    </row>
    <row r="103" spans="3:4" s="20" customFormat="1" ht="12.75">
      <c r="C103" s="21" t="s">
        <v>199</v>
      </c>
      <c r="D103" s="24"/>
    </row>
    <row r="104" spans="3:4" s="20" customFormat="1" ht="25.5">
      <c r="C104" s="21"/>
      <c r="D104" s="24" t="s">
        <v>154</v>
      </c>
    </row>
    <row r="105" spans="3:4" s="20" customFormat="1" ht="12.75">
      <c r="C105" s="21"/>
      <c r="D105" s="154" t="s">
        <v>222</v>
      </c>
    </row>
    <row r="106" spans="3:4" s="20" customFormat="1" ht="12.75">
      <c r="C106" s="21" t="s">
        <v>200</v>
      </c>
      <c r="D106" s="26"/>
    </row>
    <row r="107" s="20" customFormat="1" ht="12.75">
      <c r="D107" s="26" t="s">
        <v>155</v>
      </c>
    </row>
    <row r="108" s="20" customFormat="1" ht="25.5">
      <c r="D108" s="154" t="s">
        <v>223</v>
      </c>
    </row>
    <row r="109" spans="3:4" s="20" customFormat="1" ht="12.75">
      <c r="C109" s="21" t="s">
        <v>201</v>
      </c>
      <c r="D109" s="26"/>
    </row>
    <row r="110" s="20" customFormat="1" ht="12.75">
      <c r="D110" s="26" t="s">
        <v>145</v>
      </c>
    </row>
    <row r="111" s="20" customFormat="1" ht="12.75">
      <c r="D111" s="154" t="s">
        <v>224</v>
      </c>
    </row>
    <row r="112" spans="2:4" s="20" customFormat="1" ht="12.75">
      <c r="B112" s="27" t="s">
        <v>22</v>
      </c>
      <c r="D112" s="26"/>
    </row>
    <row r="113" spans="3:4" s="20" customFormat="1" ht="12.75">
      <c r="C113" s="21" t="s">
        <v>202</v>
      </c>
      <c r="D113" s="26"/>
    </row>
    <row r="114" s="20" customFormat="1" ht="12.75">
      <c r="D114" s="26" t="s">
        <v>147</v>
      </c>
    </row>
    <row r="115" spans="2:4" s="20" customFormat="1" ht="12.75">
      <c r="B115" s="27"/>
      <c r="D115" s="154" t="s">
        <v>220</v>
      </c>
    </row>
    <row r="116" spans="2:4" s="20" customFormat="1" ht="12.75">
      <c r="B116" s="27"/>
      <c r="D116" s="154"/>
    </row>
    <row r="117" spans="1:4" s="20" customFormat="1" ht="15">
      <c r="A117" s="134" t="s">
        <v>191</v>
      </c>
      <c r="B117" s="130"/>
      <c r="C117" s="130"/>
      <c r="D117" s="130"/>
    </row>
    <row r="118" spans="1:4" s="20" customFormat="1" ht="12.75">
      <c r="A118" s="130"/>
      <c r="B118" s="135" t="s">
        <v>161</v>
      </c>
      <c r="C118" s="136"/>
      <c r="D118" s="136"/>
    </row>
    <row r="119" spans="1:4" s="20" customFormat="1" ht="12.75">
      <c r="A119" s="130"/>
      <c r="B119" s="130"/>
      <c r="C119" s="130" t="s">
        <v>203</v>
      </c>
      <c r="D119" s="130"/>
    </row>
    <row r="120" spans="1:4" s="20" customFormat="1" ht="12.75">
      <c r="A120" s="130"/>
      <c r="B120" s="130"/>
      <c r="C120" s="130"/>
      <c r="D120" s="131" t="s">
        <v>162</v>
      </c>
    </row>
    <row r="121" spans="1:4" s="20" customFormat="1" ht="12.75">
      <c r="A121" s="130"/>
      <c r="B121" s="137" t="s">
        <v>22</v>
      </c>
      <c r="C121" s="138"/>
      <c r="D121" s="139"/>
    </row>
    <row r="122" spans="1:4" s="20" customFormat="1" ht="12.75">
      <c r="A122" s="130"/>
      <c r="B122" s="138"/>
      <c r="C122" s="140" t="s">
        <v>204</v>
      </c>
      <c r="D122" s="139"/>
    </row>
    <row r="123" spans="1:4" s="20" customFormat="1" ht="12.75">
      <c r="A123" s="130"/>
      <c r="B123" s="138"/>
      <c r="C123" s="138"/>
      <c r="D123" s="139" t="s">
        <v>163</v>
      </c>
    </row>
    <row r="124" spans="1:4" s="20" customFormat="1" ht="12.75">
      <c r="A124" s="130"/>
      <c r="B124" s="138"/>
      <c r="C124" s="138"/>
      <c r="D124" s="156" t="s">
        <v>221</v>
      </c>
    </row>
    <row r="125" spans="2:4" s="20" customFormat="1" ht="12.75">
      <c r="B125" s="27"/>
      <c r="D125" s="24"/>
    </row>
    <row r="126" spans="1:4" s="20" customFormat="1" ht="15">
      <c r="A126" s="133" t="s">
        <v>230</v>
      </c>
      <c r="B126" s="27"/>
      <c r="D126" s="24"/>
    </row>
    <row r="127" spans="2:4" s="20" customFormat="1" ht="12.75">
      <c r="B127" s="27"/>
      <c r="D127" s="24"/>
    </row>
    <row r="128" spans="2:4" s="20" customFormat="1" ht="12.75">
      <c r="B128" s="27"/>
      <c r="D128" s="24"/>
    </row>
    <row r="129" spans="2:4" s="20" customFormat="1" ht="12.75">
      <c r="B129" s="27"/>
      <c r="D129" s="24"/>
    </row>
    <row r="130" spans="2:4" s="20" customFormat="1" ht="12.75">
      <c r="B130" s="27"/>
      <c r="D130" s="24"/>
    </row>
    <row r="131" spans="2:4" s="20" customFormat="1" ht="12.75">
      <c r="B131" s="27"/>
      <c r="D131" s="24"/>
    </row>
    <row r="132" spans="2:4" s="20" customFormat="1" ht="12.75">
      <c r="B132" s="27"/>
      <c r="D132" s="24"/>
    </row>
    <row r="133" spans="2:4" s="20" customFormat="1" ht="12.75">
      <c r="B133" s="27"/>
      <c r="D133" s="24"/>
    </row>
    <row r="134" spans="2:4" s="20" customFormat="1" ht="12.75">
      <c r="B134" s="27"/>
      <c r="D134" s="24"/>
    </row>
    <row r="135" spans="2:4" s="20" customFormat="1" ht="12.75">
      <c r="B135" s="27"/>
      <c r="D135" s="24"/>
    </row>
    <row r="136" spans="2:4" s="20" customFormat="1" ht="12.75">
      <c r="B136" s="27"/>
      <c r="D136" s="24"/>
    </row>
    <row r="137" spans="2:4" s="20" customFormat="1" ht="12.75">
      <c r="B137" s="27"/>
      <c r="D137" s="24"/>
    </row>
    <row r="138" spans="2:4" s="20" customFormat="1" ht="12.75">
      <c r="B138" s="27"/>
      <c r="D138" s="24"/>
    </row>
    <row r="139" spans="2:4" s="20" customFormat="1" ht="12.75">
      <c r="B139" s="27"/>
      <c r="D139" s="24"/>
    </row>
    <row r="140" spans="2:4" s="20" customFormat="1" ht="12.75">
      <c r="B140" s="27"/>
      <c r="D140" s="24"/>
    </row>
    <row r="141" spans="2:4" s="20" customFormat="1" ht="12.75">
      <c r="B141" s="27"/>
      <c r="D141" s="24"/>
    </row>
    <row r="142" spans="2:4" s="20" customFormat="1" ht="12.75">
      <c r="B142" s="27"/>
      <c r="D142" s="24"/>
    </row>
    <row r="143" spans="2:4" s="20" customFormat="1" ht="12.75">
      <c r="B143" s="27"/>
      <c r="D143" s="24"/>
    </row>
    <row r="144" spans="2:4" s="20" customFormat="1" ht="12.75">
      <c r="B144" s="27"/>
      <c r="D144" s="24"/>
    </row>
    <row r="145" spans="2:4" s="20" customFormat="1" ht="12.75">
      <c r="B145" s="27"/>
      <c r="D145" s="24"/>
    </row>
    <row r="146" spans="2:4" s="20" customFormat="1" ht="12.75">
      <c r="B146" s="27"/>
      <c r="D146" s="24"/>
    </row>
    <row r="147" spans="2:4" s="20" customFormat="1" ht="12.75">
      <c r="B147" s="27"/>
      <c r="D147" s="24"/>
    </row>
    <row r="148" spans="2:4" s="20" customFormat="1" ht="12.75">
      <c r="B148" s="27"/>
      <c r="D148" s="24"/>
    </row>
    <row r="149" spans="2:4" s="20" customFormat="1" ht="12.75">
      <c r="B149" s="27"/>
      <c r="D149" s="24"/>
    </row>
    <row r="150" spans="2:4" s="20" customFormat="1" ht="12.75">
      <c r="B150" s="27"/>
      <c r="D150" s="24"/>
    </row>
    <row r="151" spans="2:4" s="20" customFormat="1" ht="12.75">
      <c r="B151" s="27"/>
      <c r="D151" s="24"/>
    </row>
    <row r="152" spans="2:4" s="20" customFormat="1" ht="12.75">
      <c r="B152" s="27"/>
      <c r="D152" s="24"/>
    </row>
    <row r="153" spans="2:4" s="20" customFormat="1" ht="12.75">
      <c r="B153" s="27"/>
      <c r="D153" s="24"/>
    </row>
    <row r="154" spans="2:4" s="20" customFormat="1" ht="12.75">
      <c r="B154" s="27"/>
      <c r="D154" s="24"/>
    </row>
    <row r="155" spans="2:4" s="20" customFormat="1" ht="12.75">
      <c r="B155" s="27"/>
      <c r="D155" s="24"/>
    </row>
    <row r="156" spans="2:4" s="20" customFormat="1" ht="12.75">
      <c r="B156" s="27"/>
      <c r="D156" s="24"/>
    </row>
    <row r="157" spans="2:4" s="20" customFormat="1" ht="12.75">
      <c r="B157" s="27"/>
      <c r="D157" s="24"/>
    </row>
    <row r="158" spans="2:4" s="20" customFormat="1" ht="12.75">
      <c r="B158" s="27"/>
      <c r="D158" s="24"/>
    </row>
    <row r="159" spans="2:4" s="20" customFormat="1" ht="12.75">
      <c r="B159" s="27"/>
      <c r="D159" s="24"/>
    </row>
    <row r="160" spans="2:4" s="20" customFormat="1" ht="12.75">
      <c r="B160" s="27"/>
      <c r="D160" s="24"/>
    </row>
    <row r="161" spans="1:4" s="20" customFormat="1" ht="15">
      <c r="A161" s="133" t="s">
        <v>116</v>
      </c>
      <c r="D161" s="21"/>
    </row>
    <row r="162" spans="1:4" s="20" customFormat="1" ht="12.75">
      <c r="A162" s="18"/>
      <c r="B162" s="135" t="s">
        <v>161</v>
      </c>
      <c r="D162" s="21"/>
    </row>
    <row r="163" spans="1:4" s="20" customFormat="1" ht="12.75">
      <c r="A163" s="18"/>
      <c r="B163" s="28"/>
      <c r="C163" s="21" t="s">
        <v>205</v>
      </c>
      <c r="D163" s="26"/>
    </row>
    <row r="164" spans="1:4" s="20" customFormat="1" ht="25.5">
      <c r="A164" s="18"/>
      <c r="B164" s="28"/>
      <c r="D164" s="26" t="s">
        <v>152</v>
      </c>
    </row>
    <row r="165" spans="3:4" s="20" customFormat="1" ht="12.75">
      <c r="C165" s="21" t="s">
        <v>206</v>
      </c>
      <c r="D165" s="26"/>
    </row>
    <row r="166" s="20" customFormat="1" ht="38.25">
      <c r="D166" s="26" t="s">
        <v>153</v>
      </c>
    </row>
    <row r="167" spans="3:4" s="20" customFormat="1" ht="12.75">
      <c r="C167" s="21" t="s">
        <v>207</v>
      </c>
      <c r="D167" s="26"/>
    </row>
    <row r="168" s="20" customFormat="1" ht="63.75">
      <c r="D168" s="26" t="s">
        <v>214</v>
      </c>
    </row>
    <row r="169" spans="1:4" ht="12.75">
      <c r="A169" s="20"/>
      <c r="B169" s="27" t="s">
        <v>14</v>
      </c>
      <c r="C169" s="20"/>
      <c r="D169" s="24"/>
    </row>
    <row r="170" spans="1:4" ht="12.75">
      <c r="A170" s="20"/>
      <c r="B170" s="20"/>
      <c r="C170" s="21" t="s">
        <v>208</v>
      </c>
      <c r="D170" s="24"/>
    </row>
    <row r="171" spans="3:4" s="20" customFormat="1" ht="25.5">
      <c r="C171" s="21"/>
      <c r="D171" s="24" t="s">
        <v>154</v>
      </c>
    </row>
    <row r="172" spans="3:4" s="20" customFormat="1" ht="12.75">
      <c r="C172" s="21"/>
      <c r="D172" s="154" t="s">
        <v>222</v>
      </c>
    </row>
    <row r="173" spans="3:4" s="20" customFormat="1" ht="12.75">
      <c r="C173" s="21" t="s">
        <v>209</v>
      </c>
      <c r="D173" s="26"/>
    </row>
    <row r="174" s="20" customFormat="1" ht="12.75">
      <c r="D174" s="26" t="s">
        <v>155</v>
      </c>
    </row>
    <row r="175" s="20" customFormat="1" ht="25.5">
      <c r="D175" s="154" t="s">
        <v>223</v>
      </c>
    </row>
    <row r="176" spans="3:4" s="20" customFormat="1" ht="12.75">
      <c r="C176" s="21" t="s">
        <v>210</v>
      </c>
      <c r="D176" s="26"/>
    </row>
    <row r="177" spans="1:4" ht="12.75">
      <c r="A177" s="20"/>
      <c r="B177" s="20"/>
      <c r="C177" s="20"/>
      <c r="D177" s="26" t="s">
        <v>145</v>
      </c>
    </row>
    <row r="178" spans="1:4" ht="12.75">
      <c r="A178" s="20"/>
      <c r="B178" s="20"/>
      <c r="C178" s="20"/>
      <c r="D178" s="154" t="s">
        <v>224</v>
      </c>
    </row>
    <row r="179" spans="1:4" ht="12.75">
      <c r="A179" s="20"/>
      <c r="B179" s="27" t="s">
        <v>22</v>
      </c>
      <c r="C179" s="20"/>
      <c r="D179" s="26"/>
    </row>
    <row r="180" spans="1:4" ht="12.75">
      <c r="A180" s="20"/>
      <c r="B180" s="20"/>
      <c r="C180" s="21" t="s">
        <v>211</v>
      </c>
      <c r="D180" s="26"/>
    </row>
    <row r="181" spans="1:4" ht="12.75">
      <c r="A181" s="20"/>
      <c r="B181" s="20"/>
      <c r="C181" s="20"/>
      <c r="D181" s="26" t="s">
        <v>147</v>
      </c>
    </row>
    <row r="182" spans="1:4" ht="12.75">
      <c r="A182" s="20"/>
      <c r="B182" s="20"/>
      <c r="C182" s="20"/>
      <c r="D182" s="154" t="s">
        <v>220</v>
      </c>
    </row>
    <row r="184" spans="1:4" ht="15">
      <c r="A184" s="134" t="s">
        <v>190</v>
      </c>
      <c r="B184" s="130"/>
      <c r="C184" s="130"/>
      <c r="D184" s="130"/>
    </row>
    <row r="185" spans="1:4" ht="12.75">
      <c r="A185" s="130"/>
      <c r="B185" s="135" t="s">
        <v>161</v>
      </c>
      <c r="C185" s="136"/>
      <c r="D185" s="136"/>
    </row>
    <row r="186" spans="1:4" ht="12.75">
      <c r="A186" s="130"/>
      <c r="B186" s="130"/>
      <c r="C186" s="130" t="s">
        <v>212</v>
      </c>
      <c r="D186" s="130"/>
    </row>
    <row r="187" spans="1:4" ht="12.75">
      <c r="A187" s="130"/>
      <c r="B187" s="130"/>
      <c r="C187" s="130"/>
      <c r="D187" s="131" t="s">
        <v>162</v>
      </c>
    </row>
    <row r="188" spans="1:4" ht="12.75">
      <c r="A188" s="130"/>
      <c r="B188" s="137" t="s">
        <v>22</v>
      </c>
      <c r="C188" s="138"/>
      <c r="D188" s="139"/>
    </row>
    <row r="189" spans="1:4" ht="12.75">
      <c r="A189" s="130"/>
      <c r="B189" s="138"/>
      <c r="C189" s="140" t="s">
        <v>213</v>
      </c>
      <c r="D189" s="139"/>
    </row>
    <row r="190" spans="1:4" ht="12.75">
      <c r="A190" s="130"/>
      <c r="B190" s="138"/>
      <c r="C190" s="138"/>
      <c r="D190" s="139" t="s">
        <v>163</v>
      </c>
    </row>
    <row r="191" ht="12.75">
      <c r="D191" s="156" t="s">
        <v>221</v>
      </c>
    </row>
    <row r="192" ht="12.75">
      <c r="D192" s="156"/>
    </row>
    <row r="193" spans="1:4" ht="15">
      <c r="A193" s="133" t="s">
        <v>231</v>
      </c>
      <c r="D193" s="156"/>
    </row>
    <row r="227" ht="15">
      <c r="A227" s="179" t="s">
        <v>236</v>
      </c>
    </row>
    <row r="228" ht="12.75" customHeight="1">
      <c r="A228" s="179"/>
    </row>
    <row r="229" spans="1:5" ht="12.75">
      <c r="A229" s="243" t="s">
        <v>233</v>
      </c>
      <c r="B229" s="243"/>
      <c r="C229" s="243"/>
      <c r="D229" s="243"/>
      <c r="E229" s="243"/>
    </row>
    <row r="230" spans="1:5" ht="46.5" customHeight="1">
      <c r="A230" s="239" t="s">
        <v>234</v>
      </c>
      <c r="B230" s="239"/>
      <c r="C230" s="239"/>
      <c r="D230" s="239"/>
      <c r="E230" s="239"/>
    </row>
  </sheetData>
  <sheetProtection sheet="1" objects="1" scenarios="1"/>
  <mergeCells count="6">
    <mergeCell ref="A229:E229"/>
    <mergeCell ref="A230:E230"/>
    <mergeCell ref="B10:D10"/>
    <mergeCell ref="C7:D7"/>
    <mergeCell ref="C8:D8"/>
    <mergeCell ref="C9:D9"/>
  </mergeCells>
  <printOptions/>
  <pageMargins left="0.75" right="0.75" top="1" bottom="1" header="0.5" footer="0.5"/>
  <pageSetup fitToHeight="0" fitToWidth="1" horizontalDpi="600" verticalDpi="600" orientation="portrait" scale="91" r:id="rId2"/>
  <headerFooter alignWithMargins="0">
    <oddFooter>&amp;L&amp;F / &amp;A&amp;C&amp;P of &amp;N&amp;R&amp;D</oddFooter>
  </headerFooter>
  <rowBreaks count="5" manualBreakCount="5">
    <brk id="38" max="255" man="1"/>
    <brk id="64" max="255" man="1"/>
    <brk id="111" max="255" man="1"/>
    <brk id="160" max="255" man="1"/>
    <brk id="192" max="255" man="1"/>
  </rowBreaks>
  <drawing r:id="rId1"/>
</worksheet>
</file>

<file path=xl/worksheets/sheet3.xml><?xml version="1.0" encoding="utf-8"?>
<worksheet xmlns="http://schemas.openxmlformats.org/spreadsheetml/2006/main" xmlns:r="http://schemas.openxmlformats.org/officeDocument/2006/relationships">
  <sheetPr codeName="Sheet3"/>
  <dimension ref="A1:L34"/>
  <sheetViews>
    <sheetView workbookViewId="0" topLeftCell="A13">
      <selection activeCell="D21" sqref="D21:E21"/>
    </sheetView>
  </sheetViews>
  <sheetFormatPr defaultColWidth="9.140625" defaultRowHeight="12.75"/>
  <cols>
    <col min="1" max="1" width="7.28125" style="3" customWidth="1"/>
    <col min="2" max="2" width="10.421875" style="2" customWidth="1"/>
    <col min="3" max="3" width="19.8515625" style="2" customWidth="1"/>
    <col min="4" max="5" width="11.8515625" style="3" customWidth="1"/>
    <col min="6" max="6" width="29.421875" style="3" customWidth="1"/>
    <col min="7" max="16384" width="9.140625" style="3" customWidth="1"/>
  </cols>
  <sheetData>
    <row r="1" spans="1:6" s="15" customFormat="1" ht="12.75">
      <c r="A1" s="15" t="s">
        <v>5</v>
      </c>
      <c r="B1" s="37"/>
      <c r="C1" s="37"/>
      <c r="D1" s="38"/>
      <c r="E1" s="37"/>
      <c r="F1" s="37"/>
    </row>
    <row r="2" spans="1:6" s="15" customFormat="1" ht="12.75">
      <c r="A2" s="39" t="s">
        <v>47</v>
      </c>
      <c r="B2" s="37"/>
      <c r="C2" s="37"/>
      <c r="D2" s="38"/>
      <c r="E2" s="37"/>
      <c r="F2" s="37"/>
    </row>
    <row r="3" spans="1:6" s="15" customFormat="1" ht="12.75">
      <c r="A3" s="37"/>
      <c r="B3" s="40"/>
      <c r="C3" s="40"/>
      <c r="D3" s="37"/>
      <c r="E3" s="37"/>
      <c r="F3" s="37"/>
    </row>
    <row r="4" spans="1:12" s="4" customFormat="1" ht="12.75" customHeight="1">
      <c r="A4" s="37"/>
      <c r="B4" s="250" t="s">
        <v>0</v>
      </c>
      <c r="C4" s="250"/>
      <c r="D4" s="250" t="s">
        <v>1</v>
      </c>
      <c r="E4" s="250"/>
      <c r="F4" s="42"/>
      <c r="G4" s="5"/>
      <c r="H4" s="5"/>
      <c r="I4" s="5"/>
      <c r="J4" s="5"/>
      <c r="K4" s="5"/>
      <c r="L4" s="5"/>
    </row>
    <row r="5" spans="1:12" s="4" customFormat="1" ht="12.75">
      <c r="A5" s="37"/>
      <c r="B5" s="250"/>
      <c r="C5" s="250"/>
      <c r="D5" s="41" t="s">
        <v>40</v>
      </c>
      <c r="E5" s="41" t="s">
        <v>41</v>
      </c>
      <c r="F5" s="42"/>
      <c r="G5" s="5"/>
      <c r="H5" s="5"/>
      <c r="I5" s="5"/>
      <c r="J5" s="5"/>
      <c r="K5" s="5"/>
      <c r="L5" s="5"/>
    </row>
    <row r="6" spans="1:12" s="4" customFormat="1" ht="12.75">
      <c r="A6" s="37"/>
      <c r="B6" s="248" t="s">
        <v>42</v>
      </c>
      <c r="C6" s="248"/>
      <c r="D6" s="249"/>
      <c r="E6" s="249"/>
      <c r="F6" s="42" t="s">
        <v>2</v>
      </c>
      <c r="G6" s="35"/>
      <c r="H6" s="35"/>
      <c r="I6" s="35"/>
      <c r="J6" s="35"/>
      <c r="K6" s="5"/>
      <c r="L6" s="5"/>
    </row>
    <row r="7" spans="1:9" s="4" customFormat="1" ht="25.5">
      <c r="A7" s="37"/>
      <c r="B7" s="247" t="s">
        <v>43</v>
      </c>
      <c r="C7" s="247"/>
      <c r="D7" s="251">
        <f>'Excess Air Tool'!E11</f>
        <v>50000</v>
      </c>
      <c r="E7" s="252"/>
      <c r="F7" s="44" t="s">
        <v>3</v>
      </c>
      <c r="G7" s="33"/>
      <c r="H7" s="33"/>
      <c r="I7" s="33"/>
    </row>
    <row r="8" spans="1:9" s="4" customFormat="1" ht="25.5">
      <c r="A8" s="37"/>
      <c r="B8" s="247" t="s">
        <v>44</v>
      </c>
      <c r="C8" s="247"/>
      <c r="D8" s="251">
        <f>'Excess Air Tool'!E12</f>
        <v>7749</v>
      </c>
      <c r="E8" s="252"/>
      <c r="F8" s="44" t="s">
        <v>3</v>
      </c>
      <c r="G8" s="33"/>
      <c r="H8" s="33"/>
      <c r="I8" s="33"/>
    </row>
    <row r="9" spans="1:9" s="4" customFormat="1" ht="25.5">
      <c r="A9" s="37"/>
      <c r="B9" s="247" t="s">
        <v>23</v>
      </c>
      <c r="C9" s="247"/>
      <c r="D9" s="253">
        <f>'Excess Air Tool'!E13</f>
        <v>0.45</v>
      </c>
      <c r="E9" s="253"/>
      <c r="F9" s="44" t="s">
        <v>3</v>
      </c>
      <c r="G9" s="33"/>
      <c r="H9" s="33"/>
      <c r="I9" s="33"/>
    </row>
    <row r="10" spans="1:9" s="15" customFormat="1" ht="12.75">
      <c r="A10" s="37"/>
      <c r="B10" s="249" t="s">
        <v>45</v>
      </c>
      <c r="C10" s="249"/>
      <c r="D10" s="45">
        <f>D8*D9</f>
        <v>3487.05</v>
      </c>
      <c r="E10" s="46"/>
      <c r="F10" s="44"/>
      <c r="H10" s="36"/>
      <c r="I10" s="36"/>
    </row>
    <row r="11" spans="1:9" s="4" customFormat="1" ht="25.5">
      <c r="A11" s="37"/>
      <c r="B11" s="247" t="s">
        <v>24</v>
      </c>
      <c r="C11" s="247"/>
      <c r="D11" s="43">
        <f>D7/100*D8*D9</f>
        <v>1743525</v>
      </c>
      <c r="E11" s="44"/>
      <c r="F11" s="44" t="s">
        <v>32</v>
      </c>
      <c r="G11" s="33"/>
      <c r="H11" s="33"/>
      <c r="I11" s="33"/>
    </row>
    <row r="12" spans="1:9" s="15" customFormat="1" ht="12.75">
      <c r="A12" s="37"/>
      <c r="B12" s="248" t="s">
        <v>33</v>
      </c>
      <c r="C12" s="248"/>
      <c r="D12" s="249"/>
      <c r="E12" s="249"/>
      <c r="F12" s="44"/>
      <c r="G12" s="36"/>
      <c r="H12" s="36"/>
      <c r="I12" s="36"/>
    </row>
    <row r="13" spans="1:9" s="15" customFormat="1" ht="25.5">
      <c r="A13" s="37"/>
      <c r="B13" s="247" t="s">
        <v>25</v>
      </c>
      <c r="C13" s="247"/>
      <c r="D13" s="47">
        <f>'Excess Air Tool'!E17</f>
        <v>1600</v>
      </c>
      <c r="E13" s="47">
        <f>'Excess Air Tool'!F17</f>
        <v>1600</v>
      </c>
      <c r="F13" s="44" t="s">
        <v>35</v>
      </c>
      <c r="H13" s="36"/>
      <c r="I13" s="36"/>
    </row>
    <row r="14" spans="1:9" s="15" customFormat="1" ht="25.5">
      <c r="A14" s="37"/>
      <c r="B14" s="247" t="s">
        <v>46</v>
      </c>
      <c r="C14" s="247"/>
      <c r="D14" s="48">
        <f>'Excess Air Tool'!E18</f>
        <v>0.04</v>
      </c>
      <c r="E14" s="48">
        <f>'Excess Air Tool'!F18</f>
        <v>0.02</v>
      </c>
      <c r="F14" s="44" t="s">
        <v>36</v>
      </c>
      <c r="G14" s="36"/>
      <c r="H14" s="36"/>
      <c r="I14" s="36"/>
    </row>
    <row r="15" spans="1:9" s="15" customFormat="1" ht="25.5">
      <c r="A15" s="37"/>
      <c r="B15" s="247" t="s">
        <v>26</v>
      </c>
      <c r="C15" s="247"/>
      <c r="D15" s="47">
        <f>'Excess Air Tool'!E19</f>
        <v>80</v>
      </c>
      <c r="E15" s="47">
        <f>'Excess Air Tool'!F19</f>
        <v>80</v>
      </c>
      <c r="F15" s="44" t="s">
        <v>37</v>
      </c>
      <c r="G15" s="36"/>
      <c r="H15" s="36"/>
      <c r="I15" s="36"/>
    </row>
    <row r="16" spans="1:9" s="15" customFormat="1" ht="12.75">
      <c r="A16" s="37"/>
      <c r="B16" s="247" t="s">
        <v>27</v>
      </c>
      <c r="C16" s="247"/>
      <c r="D16" s="49">
        <f>(0.0258+3.7855*(100*D14)+0.60844*(100*D14)^2-0.06275*(100*D14)^3+0.00493*(100*D14)^4)/100</f>
        <v>0.2214892</v>
      </c>
      <c r="E16" s="49">
        <f>(0.0258+3.7855*(100*E14)+0.60844*(100*E14)^2-0.06275*(100*E14)^3+0.00493*(100*E14)^4)/100</f>
        <v>0.09607439999999999</v>
      </c>
      <c r="F16" s="44" t="s">
        <v>39</v>
      </c>
      <c r="G16" s="36"/>
      <c r="H16" s="36"/>
      <c r="I16" s="36"/>
    </row>
    <row r="17" spans="1:9" s="15" customFormat="1" ht="25.5">
      <c r="A17" s="37"/>
      <c r="B17" s="247" t="s">
        <v>28</v>
      </c>
      <c r="C17" s="247"/>
      <c r="D17" s="49">
        <f>D30/100</f>
        <v>0.4786672832</v>
      </c>
      <c r="E17" s="49">
        <f>E30/100</f>
        <v>0.5167933824</v>
      </c>
      <c r="F17" s="44" t="s">
        <v>38</v>
      </c>
      <c r="G17" s="36"/>
      <c r="H17" s="36"/>
      <c r="I17" s="36"/>
    </row>
    <row r="18" spans="1:6" s="15" customFormat="1" ht="12.75">
      <c r="A18" s="37"/>
      <c r="B18" s="248" t="s">
        <v>34</v>
      </c>
      <c r="C18" s="248"/>
      <c r="D18" s="249"/>
      <c r="E18" s="249"/>
      <c r="F18" s="37"/>
    </row>
    <row r="19" spans="1:6" s="15" customFormat="1" ht="12.75">
      <c r="A19" s="37"/>
      <c r="B19" s="247" t="s">
        <v>29</v>
      </c>
      <c r="C19" s="247"/>
      <c r="D19" s="256">
        <f>(E30-D30)/E30</f>
        <v>0.07377435644191406</v>
      </c>
      <c r="E19" s="256"/>
      <c r="F19" s="37"/>
    </row>
    <row r="20" spans="1:6" s="4" customFormat="1" ht="12.75">
      <c r="A20" s="37"/>
      <c r="B20" s="247" t="s">
        <v>31</v>
      </c>
      <c r="C20" s="247"/>
      <c r="D20" s="50">
        <f>D11</f>
        <v>1743525</v>
      </c>
      <c r="E20" s="50">
        <f>D11*(1-D19)</f>
        <v>1614897.5651846118</v>
      </c>
      <c r="F20" s="37"/>
    </row>
    <row r="21" spans="1:6" s="4" customFormat="1" ht="13.5" customHeight="1">
      <c r="A21" s="37"/>
      <c r="B21" s="254" t="s">
        <v>30</v>
      </c>
      <c r="C21" s="254"/>
      <c r="D21" s="255">
        <f>D11-E20</f>
        <v>128627.43481538817</v>
      </c>
      <c r="E21" s="255"/>
      <c r="F21" s="37"/>
    </row>
    <row r="22" spans="1:6" s="15" customFormat="1" ht="12.75" customHeight="1">
      <c r="A22" s="37"/>
      <c r="B22" s="38"/>
      <c r="C22" s="38"/>
      <c r="D22" s="51"/>
      <c r="E22" s="51"/>
      <c r="F22" s="37"/>
    </row>
    <row r="23" spans="1:6" s="15" customFormat="1" ht="12.75" customHeight="1">
      <c r="A23" s="37"/>
      <c r="B23" s="37"/>
      <c r="C23" s="37"/>
      <c r="D23" s="37"/>
      <c r="E23" s="37"/>
      <c r="F23" s="37"/>
    </row>
    <row r="24" spans="2:3" s="15" customFormat="1" ht="12.75" customHeight="1">
      <c r="B24" s="29" t="s">
        <v>11</v>
      </c>
      <c r="C24" s="29"/>
    </row>
    <row r="25" s="15" customFormat="1" ht="12.75" customHeight="1"/>
    <row r="26" spans="2:5" s="15" customFormat="1" ht="12.75" customHeight="1">
      <c r="B26" s="13" t="s">
        <v>10</v>
      </c>
      <c r="C26" s="13"/>
      <c r="D26" s="98" t="s">
        <v>4</v>
      </c>
      <c r="E26" s="98" t="s">
        <v>12</v>
      </c>
    </row>
    <row r="27" spans="2:5" s="15" customFormat="1" ht="12.75" customHeight="1">
      <c r="B27" s="99" t="s">
        <v>6</v>
      </c>
      <c r="C27" s="99"/>
      <c r="D27" s="98">
        <f>95-0.025*D13</f>
        <v>55</v>
      </c>
      <c r="E27" s="98">
        <f>95-0.025*E13</f>
        <v>55</v>
      </c>
    </row>
    <row r="28" spans="2:5" s="15" customFormat="1" ht="12.75" customHeight="1">
      <c r="B28" s="99" t="s">
        <v>7</v>
      </c>
      <c r="C28" s="99"/>
      <c r="D28" s="100">
        <f>-(-2+0.02*D13)*D16</f>
        <v>-6.644676</v>
      </c>
      <c r="E28" s="100">
        <f>-(-2+0.02*E13)*E16</f>
        <v>-2.8822319999999997</v>
      </c>
    </row>
    <row r="29" spans="2:5" s="15" customFormat="1" ht="12.75">
      <c r="B29" s="99" t="s">
        <v>8</v>
      </c>
      <c r="C29" s="99"/>
      <c r="D29" s="101">
        <f>(-2+0.02*D15)*(1+D16)</f>
        <v>-0.48859567999999987</v>
      </c>
      <c r="E29" s="101">
        <f>(-2+0.02*E15)*(1+E16)</f>
        <v>-0.4384297599999999</v>
      </c>
    </row>
    <row r="30" spans="2:5" s="15" customFormat="1" ht="12.75">
      <c r="B30" s="99" t="s">
        <v>9</v>
      </c>
      <c r="C30" s="99"/>
      <c r="D30" s="100">
        <f>SUM(D27:D29)</f>
        <v>47.86672832</v>
      </c>
      <c r="E30" s="100">
        <f>SUM(E27:E29)</f>
        <v>51.67933824</v>
      </c>
    </row>
    <row r="31" spans="2:3" s="15" customFormat="1" ht="12.75">
      <c r="B31" s="14"/>
      <c r="C31" s="14"/>
    </row>
    <row r="32" spans="2:3" s="15" customFormat="1" ht="12.75">
      <c r="B32" s="14"/>
      <c r="C32" s="14"/>
    </row>
    <row r="33" spans="2:3" s="15" customFormat="1" ht="12.75">
      <c r="B33" s="14"/>
      <c r="C33" s="14"/>
    </row>
    <row r="34" spans="2:3" s="15" customFormat="1" ht="12.75">
      <c r="B34" s="14"/>
      <c r="C34" s="14"/>
    </row>
  </sheetData>
  <mergeCells count="23">
    <mergeCell ref="D9:E9"/>
    <mergeCell ref="B9:C9"/>
    <mergeCell ref="B21:C21"/>
    <mergeCell ref="D21:E21"/>
    <mergeCell ref="D19:E19"/>
    <mergeCell ref="B20:C20"/>
    <mergeCell ref="B19:C19"/>
    <mergeCell ref="B18:E18"/>
    <mergeCell ref="B10:C10"/>
    <mergeCell ref="B11:C11"/>
    <mergeCell ref="B4:C5"/>
    <mergeCell ref="B7:C7"/>
    <mergeCell ref="B8:C8"/>
    <mergeCell ref="D4:E4"/>
    <mergeCell ref="B6:E6"/>
    <mergeCell ref="D7:E7"/>
    <mergeCell ref="D8:E8"/>
    <mergeCell ref="B17:C17"/>
    <mergeCell ref="B12:E12"/>
    <mergeCell ref="B13:C13"/>
    <mergeCell ref="B14:C14"/>
    <mergeCell ref="B16:C16"/>
    <mergeCell ref="B15:C1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L82"/>
  <sheetViews>
    <sheetView workbookViewId="0" topLeftCell="A46">
      <selection activeCell="E61" sqref="E61"/>
    </sheetView>
  </sheetViews>
  <sheetFormatPr defaultColWidth="9.140625" defaultRowHeight="12.75"/>
  <cols>
    <col min="1" max="1" width="7.28125" style="52" customWidth="1"/>
    <col min="2" max="2" width="10.421875" style="52" customWidth="1"/>
    <col min="3" max="3" width="19.8515625" style="52" customWidth="1"/>
    <col min="4" max="4" width="11.8515625" style="52" customWidth="1"/>
    <col min="5" max="5" width="11.8515625" style="53" customWidth="1"/>
    <col min="6" max="6" width="14.140625" style="52" customWidth="1"/>
    <col min="7" max="7" width="11.140625" style="52" bestFit="1" customWidth="1"/>
    <col min="8" max="8" width="11.57421875" style="52" bestFit="1" customWidth="1"/>
    <col min="9" max="9" width="9.140625" style="52" customWidth="1"/>
    <col min="10" max="10" width="10.00390625" style="52" bestFit="1" customWidth="1"/>
    <col min="11" max="16384" width="9.140625" style="52" customWidth="1"/>
  </cols>
  <sheetData>
    <row r="1" ht="12.75">
      <c r="A1" s="15" t="s">
        <v>5</v>
      </c>
    </row>
    <row r="2" ht="12.75">
      <c r="A2" s="30" t="s">
        <v>105</v>
      </c>
    </row>
    <row r="4" spans="2:12" s="54" customFormat="1" ht="12.75">
      <c r="B4" s="55" t="s">
        <v>48</v>
      </c>
      <c r="C4" s="55"/>
      <c r="D4" s="55"/>
      <c r="E4" s="42" t="s">
        <v>40</v>
      </c>
      <c r="F4" s="103" t="s">
        <v>108</v>
      </c>
      <c r="G4" s="56"/>
      <c r="H4" s="56"/>
      <c r="I4" s="56"/>
      <c r="J4" s="56"/>
      <c r="K4" s="56"/>
      <c r="L4" s="56"/>
    </row>
    <row r="5" spans="2:12" s="54" customFormat="1" ht="12.75">
      <c r="B5" s="51" t="s">
        <v>49</v>
      </c>
      <c r="C5" s="55"/>
      <c r="D5" s="55"/>
      <c r="E5" s="55"/>
      <c r="F5" s="56"/>
      <c r="G5" s="56"/>
      <c r="H5" s="56"/>
      <c r="I5" s="56"/>
      <c r="J5" s="56"/>
      <c r="K5" s="56"/>
      <c r="L5" s="56"/>
    </row>
    <row r="6" spans="2:12" s="54" customFormat="1" ht="12.75">
      <c r="B6" s="51" t="s">
        <v>50</v>
      </c>
      <c r="C6" s="55"/>
      <c r="D6" s="55"/>
      <c r="E6" s="87">
        <f>'Excess Air Tool'!E12</f>
        <v>7749</v>
      </c>
      <c r="F6" s="112">
        <f>E6</f>
        <v>7749</v>
      </c>
      <c r="G6" s="56"/>
      <c r="H6" s="56"/>
      <c r="I6" s="56"/>
      <c r="J6" s="56"/>
      <c r="K6" s="56"/>
      <c r="L6" s="56"/>
    </row>
    <row r="7" spans="2:12" s="54" customFormat="1" ht="12.75">
      <c r="B7" s="51" t="s">
        <v>51</v>
      </c>
      <c r="C7" s="55"/>
      <c r="D7" s="55"/>
      <c r="E7" s="55"/>
      <c r="F7" s="56"/>
      <c r="G7" s="56"/>
      <c r="H7" s="56"/>
      <c r="I7" s="56"/>
      <c r="J7" s="56"/>
      <c r="K7" s="56"/>
      <c r="L7" s="56"/>
    </row>
    <row r="8" spans="2:12" s="54" customFormat="1" ht="12.75">
      <c r="B8" s="51"/>
      <c r="C8" s="55"/>
      <c r="D8" s="55"/>
      <c r="E8" s="55"/>
      <c r="F8" s="56"/>
      <c r="G8" s="56"/>
      <c r="H8" s="56"/>
      <c r="I8" s="56"/>
      <c r="J8" s="56"/>
      <c r="K8" s="56"/>
      <c r="L8" s="56"/>
    </row>
    <row r="9" spans="2:12" s="54" customFormat="1" ht="12.75">
      <c r="B9" s="51" t="s">
        <v>52</v>
      </c>
      <c r="C9" s="55"/>
      <c r="D9" s="55"/>
      <c r="E9" s="87">
        <f>'Excess Air Tool'!E17</f>
        <v>1600</v>
      </c>
      <c r="F9" s="109">
        <f>'Excess Air Tool'!F17</f>
        <v>1600</v>
      </c>
      <c r="G9" s="56"/>
      <c r="H9" s="56"/>
      <c r="I9" s="56"/>
      <c r="J9" s="56"/>
      <c r="K9" s="56"/>
      <c r="L9" s="56"/>
    </row>
    <row r="10" spans="2:12" s="54" customFormat="1" ht="12.75">
      <c r="B10" s="51" t="s">
        <v>53</v>
      </c>
      <c r="C10" s="55"/>
      <c r="D10" s="55"/>
      <c r="E10" s="88">
        <f>'Excess Air Tool'!E18</f>
        <v>0.04</v>
      </c>
      <c r="F10" s="110">
        <f>'Excess Air Tool'!F18</f>
        <v>0.02</v>
      </c>
      <c r="G10" s="56"/>
      <c r="H10" s="56"/>
      <c r="I10" s="56"/>
      <c r="J10" s="56"/>
      <c r="K10" s="56"/>
      <c r="L10" s="56"/>
    </row>
    <row r="11" spans="2:12" s="54" customFormat="1" ht="12.75">
      <c r="B11" s="51" t="s">
        <v>54</v>
      </c>
      <c r="C11" s="55"/>
      <c r="D11" s="55"/>
      <c r="E11" s="87">
        <f>'Excess Air Tool'!E19</f>
        <v>80</v>
      </c>
      <c r="F11" s="109">
        <f>'Excess Air Tool'!F19</f>
        <v>80</v>
      </c>
      <c r="G11" s="56"/>
      <c r="H11" s="56"/>
      <c r="I11" s="56"/>
      <c r="J11" s="56"/>
      <c r="K11" s="56"/>
      <c r="L11" s="56"/>
    </row>
    <row r="12" spans="2:12" s="54" customFormat="1" ht="12.75">
      <c r="B12" s="51"/>
      <c r="C12" s="55"/>
      <c r="D12" s="55"/>
      <c r="E12" s="55"/>
      <c r="F12" s="56"/>
      <c r="G12" s="56"/>
      <c r="H12" s="56"/>
      <c r="I12" s="56"/>
      <c r="J12" s="56"/>
      <c r="K12" s="56"/>
      <c r="L12" s="56"/>
    </row>
    <row r="13" spans="2:12" s="54" customFormat="1" ht="12.75">
      <c r="B13" s="51" t="s">
        <v>55</v>
      </c>
      <c r="C13" s="51"/>
      <c r="D13" s="51"/>
      <c r="E13" s="89">
        <f>'Excess Air Tool'!E29</f>
        <v>0.2</v>
      </c>
      <c r="F13" s="111">
        <f>E13</f>
        <v>0.2</v>
      </c>
      <c r="G13" s="56"/>
      <c r="H13" s="56"/>
      <c r="I13" s="56"/>
      <c r="J13" s="56"/>
      <c r="K13" s="56"/>
      <c r="L13" s="56"/>
    </row>
    <row r="14" spans="2:12" s="54" customFormat="1" ht="12.75">
      <c r="B14" s="257" t="s">
        <v>117</v>
      </c>
      <c r="C14" s="257"/>
      <c r="D14" s="257"/>
      <c r="E14" s="87">
        <f>'Excess Air Tool'!E30</f>
        <v>36</v>
      </c>
      <c r="F14" s="109">
        <f>'Excess Air Tool'!F30</f>
        <v>0</v>
      </c>
      <c r="G14" s="56"/>
      <c r="H14" s="56"/>
      <c r="I14" s="56"/>
      <c r="J14" s="56"/>
      <c r="K14" s="56"/>
      <c r="L14" s="56"/>
    </row>
    <row r="15" spans="7:12" s="54" customFormat="1" ht="12.75">
      <c r="G15" s="56"/>
      <c r="H15" s="56"/>
      <c r="I15" s="56"/>
      <c r="J15" s="56"/>
      <c r="K15" s="56"/>
      <c r="L15" s="56"/>
    </row>
    <row r="16" spans="2:12" s="54" customFormat="1" ht="12.75">
      <c r="B16" s="55" t="s">
        <v>57</v>
      </c>
      <c r="C16" s="56"/>
      <c r="D16" s="56"/>
      <c r="F16" s="56"/>
      <c r="G16" s="56"/>
      <c r="H16" s="56"/>
      <c r="I16" s="56"/>
      <c r="J16" s="56"/>
      <c r="K16" s="56"/>
      <c r="L16" s="56"/>
    </row>
    <row r="17" spans="2:12" s="54" customFormat="1" ht="12.75">
      <c r="B17" s="38" t="s">
        <v>58</v>
      </c>
      <c r="F17" s="56"/>
      <c r="G17" s="56"/>
      <c r="H17" s="56"/>
      <c r="I17" s="56"/>
      <c r="J17" s="56"/>
      <c r="K17" s="56"/>
      <c r="L17" s="56"/>
    </row>
    <row r="18" spans="3:12" s="54" customFormat="1" ht="12.75">
      <c r="C18" s="38"/>
      <c r="D18" s="38"/>
      <c r="F18" s="56"/>
      <c r="G18" s="56"/>
      <c r="H18" s="56"/>
      <c r="I18" s="56"/>
      <c r="J18" s="56"/>
      <c r="K18" s="56"/>
      <c r="L18" s="56"/>
    </row>
    <row r="19" spans="2:12" s="54" customFormat="1" ht="12.75">
      <c r="B19" s="56" t="s">
        <v>59</v>
      </c>
      <c r="C19" s="38"/>
      <c r="D19" s="38"/>
      <c r="F19" s="56"/>
      <c r="G19" s="56"/>
      <c r="H19" s="56"/>
      <c r="I19" s="56"/>
      <c r="J19" s="56"/>
      <c r="K19" s="56"/>
      <c r="L19" s="56"/>
    </row>
    <row r="20" spans="2:12" s="54" customFormat="1" ht="12.75">
      <c r="B20" s="60" t="s">
        <v>60</v>
      </c>
      <c r="C20" s="60"/>
      <c r="D20" s="56"/>
      <c r="E20" s="61"/>
      <c r="F20" s="56"/>
      <c r="G20" s="56"/>
      <c r="H20" s="56"/>
      <c r="I20" s="56"/>
      <c r="J20" s="56"/>
      <c r="K20" s="56"/>
      <c r="L20" s="56"/>
    </row>
    <row r="21" spans="2:12" s="54" customFormat="1" ht="12.75">
      <c r="B21" s="56" t="s">
        <v>61</v>
      </c>
      <c r="C21" s="56" t="s">
        <v>62</v>
      </c>
      <c r="G21" s="56"/>
      <c r="H21" s="56"/>
      <c r="I21" s="56"/>
      <c r="J21" s="56"/>
      <c r="K21" s="56"/>
      <c r="L21" s="56"/>
    </row>
    <row r="22" spans="2:12" s="54" customFormat="1" ht="12.75">
      <c r="B22" s="56">
        <v>6.85703185707211</v>
      </c>
      <c r="C22" s="56"/>
      <c r="D22" s="56"/>
      <c r="E22" s="61"/>
      <c r="F22" s="56"/>
      <c r="G22" s="56"/>
      <c r="H22" s="56"/>
      <c r="I22" s="56"/>
      <c r="J22" s="56"/>
      <c r="K22" s="56"/>
      <c r="L22" s="56"/>
    </row>
    <row r="23" spans="2:12" s="54" customFormat="1" ht="12.75">
      <c r="B23" s="56" t="s">
        <v>63</v>
      </c>
      <c r="C23" s="56"/>
      <c r="D23" s="56"/>
      <c r="E23" s="61"/>
      <c r="F23" s="56"/>
      <c r="G23" s="56"/>
      <c r="H23" s="56"/>
      <c r="I23" s="56"/>
      <c r="J23" s="56"/>
      <c r="K23" s="56"/>
      <c r="L23" s="56"/>
    </row>
    <row r="24" spans="2:12" s="54" customFormat="1" ht="12.75">
      <c r="B24" s="56" t="s">
        <v>64</v>
      </c>
      <c r="C24" s="56"/>
      <c r="D24" s="56"/>
      <c r="E24" s="61"/>
      <c r="F24" s="56"/>
      <c r="G24" s="56"/>
      <c r="H24" s="56"/>
      <c r="I24" s="56"/>
      <c r="J24" s="56"/>
      <c r="K24" s="56"/>
      <c r="L24" s="56"/>
    </row>
    <row r="25" spans="2:12" s="54" customFormat="1" ht="12.75">
      <c r="B25" s="56" t="s">
        <v>65</v>
      </c>
      <c r="C25" s="56"/>
      <c r="D25" s="56"/>
      <c r="E25" s="61"/>
      <c r="F25" s="56"/>
      <c r="G25" s="56"/>
      <c r="H25" s="56"/>
      <c r="I25" s="56"/>
      <c r="J25" s="56"/>
      <c r="K25" s="56"/>
      <c r="L25" s="56"/>
    </row>
    <row r="26" spans="2:12" s="54" customFormat="1" ht="12.75">
      <c r="B26" s="56" t="s">
        <v>66</v>
      </c>
      <c r="C26" s="56"/>
      <c r="D26" s="56"/>
      <c r="E26" s="61"/>
      <c r="F26" s="56"/>
      <c r="G26" s="56"/>
      <c r="H26" s="56"/>
      <c r="I26" s="56"/>
      <c r="J26" s="56"/>
      <c r="K26" s="56"/>
      <c r="L26" s="56"/>
    </row>
    <row r="27" spans="3:12" s="54" customFormat="1" ht="12.75">
      <c r="C27" s="51"/>
      <c r="D27" s="51"/>
      <c r="F27" s="56"/>
      <c r="G27" s="56"/>
      <c r="H27" s="56"/>
      <c r="I27" s="56"/>
      <c r="J27" s="56"/>
      <c r="K27" s="56"/>
      <c r="L27" s="56"/>
    </row>
    <row r="28" spans="2:12" s="54" customFormat="1" ht="12.75">
      <c r="B28" s="55" t="s">
        <v>67</v>
      </c>
      <c r="C28" s="51"/>
      <c r="D28" s="51"/>
      <c r="F28" s="56"/>
      <c r="G28" s="56"/>
      <c r="H28" s="56"/>
      <c r="I28" s="56"/>
      <c r="J28" s="56"/>
      <c r="K28" s="56"/>
      <c r="L28" s="56"/>
    </row>
    <row r="29" spans="1:12" s="54" customFormat="1" ht="12.75">
      <c r="A29" s="62" t="s">
        <v>68</v>
      </c>
      <c r="B29" s="62" t="s">
        <v>69</v>
      </c>
      <c r="H29" s="56"/>
      <c r="I29" s="56"/>
      <c r="J29" s="56"/>
      <c r="K29" s="56"/>
      <c r="L29" s="56"/>
    </row>
    <row r="30" spans="1:12" s="54" customFormat="1" ht="12.75">
      <c r="A30" s="62" t="s">
        <v>71</v>
      </c>
      <c r="B30" s="62" t="s">
        <v>72</v>
      </c>
      <c r="C30" s="62"/>
      <c r="D30" s="61" t="s">
        <v>70</v>
      </c>
      <c r="F30" s="108"/>
      <c r="G30" s="63"/>
      <c r="H30" s="56"/>
      <c r="I30" s="56"/>
      <c r="J30" s="56"/>
      <c r="K30" s="56"/>
      <c r="L30" s="56"/>
    </row>
    <row r="31" spans="1:12" s="54" customFormat="1" ht="12.75">
      <c r="A31" s="64">
        <v>0.1</v>
      </c>
      <c r="B31" s="122">
        <f>$D$31*SQRT(A31)</f>
        <v>423.8716975689696</v>
      </c>
      <c r="C31" s="62" t="s">
        <v>74</v>
      </c>
      <c r="D31" s="64">
        <v>1340.4</v>
      </c>
      <c r="E31" s="56" t="s">
        <v>121</v>
      </c>
      <c r="F31" s="108"/>
      <c r="G31" s="63"/>
      <c r="H31" s="56"/>
      <c r="I31" s="56"/>
      <c r="J31" s="56"/>
      <c r="K31" s="56"/>
      <c r="L31" s="56"/>
    </row>
    <row r="32" spans="1:12" s="54" customFormat="1" ht="12.75">
      <c r="A32" s="64">
        <v>0.2</v>
      </c>
      <c r="B32" s="122">
        <f>$D$31*SQRT(A32)</f>
        <v>599.4451034081436</v>
      </c>
      <c r="C32" s="62"/>
      <c r="E32" s="56"/>
      <c r="F32" s="108"/>
      <c r="G32" s="63"/>
      <c r="H32" s="56"/>
      <c r="I32" s="56"/>
      <c r="J32" s="56"/>
      <c r="K32" s="56"/>
      <c r="L32" s="56"/>
    </row>
    <row r="33" spans="1:12" s="54" customFormat="1" ht="12.75">
      <c r="A33" s="64">
        <v>0.3</v>
      </c>
      <c r="B33" s="122">
        <f>$D$31*SQRT(A33)</f>
        <v>734.1673160799246</v>
      </c>
      <c r="C33" s="62"/>
      <c r="E33" s="56"/>
      <c r="F33" s="108"/>
      <c r="G33" s="63"/>
      <c r="H33" s="56"/>
      <c r="I33" s="56"/>
      <c r="J33" s="56"/>
      <c r="K33" s="56"/>
      <c r="L33" s="56"/>
    </row>
    <row r="34" spans="1:7" ht="12.75">
      <c r="A34" s="64">
        <v>0.4</v>
      </c>
      <c r="B34" s="122">
        <f>$D$31*SQRT(A34)</f>
        <v>847.7433951379392</v>
      </c>
      <c r="C34" s="62"/>
      <c r="E34" s="56"/>
      <c r="F34" s="108"/>
      <c r="G34" s="63"/>
    </row>
    <row r="35" spans="1:5" ht="12.75">
      <c r="A35" s="62"/>
      <c r="B35" s="63"/>
      <c r="C35" s="56"/>
      <c r="D35" s="64"/>
      <c r="E35" s="56"/>
    </row>
    <row r="36" spans="1:5" ht="12.75">
      <c r="A36" s="62"/>
      <c r="B36" s="40" t="s">
        <v>81</v>
      </c>
      <c r="D36" s="65">
        <v>95</v>
      </c>
      <c r="E36" s="65">
        <v>-0.025</v>
      </c>
    </row>
    <row r="37" spans="1:5" ht="12.75">
      <c r="A37" s="62"/>
      <c r="B37" s="40" t="s">
        <v>82</v>
      </c>
      <c r="D37" s="65">
        <v>-2</v>
      </c>
      <c r="E37" s="65">
        <v>0.02</v>
      </c>
    </row>
    <row r="38" spans="1:5" ht="12.75">
      <c r="A38" s="62"/>
      <c r="B38" s="40" t="s">
        <v>83</v>
      </c>
      <c r="D38" s="65">
        <v>-2</v>
      </c>
      <c r="E38" s="65">
        <v>0.02</v>
      </c>
    </row>
    <row r="39" spans="2:5" ht="12.75">
      <c r="B39" s="40" t="s">
        <v>84</v>
      </c>
      <c r="C39" s="56"/>
      <c r="D39" s="56"/>
      <c r="E39" s="52"/>
    </row>
    <row r="40" spans="3:5" ht="12.75">
      <c r="C40" s="62" t="s">
        <v>73</v>
      </c>
      <c r="D40" s="65">
        <v>0.0258</v>
      </c>
      <c r="E40" s="52"/>
    </row>
    <row r="41" spans="2:5" ht="12.75">
      <c r="B41" s="40"/>
      <c r="C41" s="62" t="s">
        <v>74</v>
      </c>
      <c r="D41" s="65">
        <v>3.785494</v>
      </c>
      <c r="E41" s="56" t="s">
        <v>71</v>
      </c>
    </row>
    <row r="42" spans="2:5" ht="12.75">
      <c r="B42" s="40"/>
      <c r="C42" s="62" t="s">
        <v>75</v>
      </c>
      <c r="D42" s="65">
        <v>0.6084412</v>
      </c>
      <c r="E42" s="56" t="s">
        <v>76</v>
      </c>
    </row>
    <row r="43" spans="2:5" ht="12.75">
      <c r="B43" s="40"/>
      <c r="C43" s="62" t="s">
        <v>77</v>
      </c>
      <c r="D43" s="65">
        <f>-6.275275*0.01</f>
        <v>-0.06275275</v>
      </c>
      <c r="E43" s="56" t="s">
        <v>78</v>
      </c>
    </row>
    <row r="44" spans="2:5" ht="12.75">
      <c r="B44" s="40"/>
      <c r="C44" s="62" t="s">
        <v>79</v>
      </c>
      <c r="D44" s="65">
        <v>0.004928106</v>
      </c>
      <c r="E44" s="56" t="s">
        <v>80</v>
      </c>
    </row>
    <row r="45" spans="2:5" ht="12.75">
      <c r="B45" s="56"/>
      <c r="C45" s="56"/>
      <c r="D45" s="56"/>
      <c r="E45" s="52"/>
    </row>
    <row r="46" spans="2:5" ht="12.75">
      <c r="B46" s="55" t="s">
        <v>14</v>
      </c>
      <c r="C46" s="56"/>
      <c r="D46" s="56"/>
      <c r="E46" s="52"/>
    </row>
    <row r="47" spans="2:6" ht="12.75">
      <c r="B47" s="56" t="s">
        <v>69</v>
      </c>
      <c r="C47" s="56"/>
      <c r="D47" s="56"/>
      <c r="E47" s="66">
        <f>$D$31*SQRT(E13)</f>
        <v>599.4451034081436</v>
      </c>
      <c r="F47" s="66">
        <f>$D$31*SQRT(F13)</f>
        <v>599.4451034081436</v>
      </c>
    </row>
    <row r="48" spans="2:6" ht="12.75">
      <c r="B48" s="51" t="s">
        <v>122</v>
      </c>
      <c r="C48" s="51"/>
      <c r="D48" s="51"/>
      <c r="E48" s="57">
        <f>E47*E14</f>
        <v>21580.02372269317</v>
      </c>
      <c r="F48" s="57">
        <f>F47*F14</f>
        <v>0</v>
      </c>
    </row>
    <row r="49" spans="2:6" ht="12.75">
      <c r="B49" s="51" t="s">
        <v>85</v>
      </c>
      <c r="C49" s="51"/>
      <c r="D49" s="51"/>
      <c r="E49" s="67">
        <f>E48*0.02*(E9-60)</f>
        <v>664664.7306589497</v>
      </c>
      <c r="F49" s="67">
        <f>F48*0.02*(F9-60)</f>
        <v>0</v>
      </c>
    </row>
    <row r="50" spans="2:7" ht="12.75">
      <c r="B50" s="40" t="s">
        <v>86</v>
      </c>
      <c r="E50" s="68">
        <f>$D$40+$D$41*(100*E10)+$D$42*(100*E10)^2+$D$43*(100*E10)^3+$D$44*(100*E10)^4</f>
        <v>22.148254335999997</v>
      </c>
      <c r="F50" s="68">
        <f>$D$40+$D$41*(100*F10)+$D$42*(100*F10)^2+$D$43*(100*F10)^3+$D$44*(100*F10)^4</f>
        <v>9.607380496000001</v>
      </c>
      <c r="G50" s="69" t="s">
        <v>87</v>
      </c>
    </row>
    <row r="51" spans="2:6" ht="12.75">
      <c r="B51" s="40" t="s">
        <v>88</v>
      </c>
      <c r="E51" s="70">
        <f>$D$36+$E$36*E9</f>
        <v>55</v>
      </c>
      <c r="F51" s="70">
        <f>$D$36+$E$36*F9</f>
        <v>55</v>
      </c>
    </row>
    <row r="52" spans="2:12" s="54" customFormat="1" ht="12.75">
      <c r="B52" s="40" t="s">
        <v>89</v>
      </c>
      <c r="C52" s="52"/>
      <c r="D52" s="52"/>
      <c r="E52" s="71">
        <f>-($D$37+$E$37*E9)*(E50/100)</f>
        <v>-6.644476300799999</v>
      </c>
      <c r="F52" s="71">
        <f>-($D$37+$E$37*F9)*(F50/100)</f>
        <v>-2.8822141488</v>
      </c>
      <c r="G52" s="56"/>
      <c r="H52" s="56"/>
      <c r="I52" s="56"/>
      <c r="J52" s="56"/>
      <c r="K52" s="56"/>
      <c r="L52" s="56"/>
    </row>
    <row r="53" spans="2:12" s="54" customFormat="1" ht="12.75">
      <c r="B53" s="40" t="s">
        <v>90</v>
      </c>
      <c r="C53" s="52"/>
      <c r="D53" s="52"/>
      <c r="E53" s="72">
        <f>($D$38+$E$38*E11)*(1+E50/100)</f>
        <v>-0.4885930173439999</v>
      </c>
      <c r="F53" s="72">
        <f>($D$38+$E$38*F11)*(1+F50/100)</f>
        <v>-0.4384295219839999</v>
      </c>
      <c r="G53" s="56"/>
      <c r="H53" s="56"/>
      <c r="I53" s="56"/>
      <c r="J53" s="56"/>
      <c r="K53" s="56"/>
      <c r="L53" s="56"/>
    </row>
    <row r="54" spans="2:12" s="54" customFormat="1" ht="12.75">
      <c r="B54" s="40" t="s">
        <v>91</v>
      </c>
      <c r="C54" s="52"/>
      <c r="D54" s="52"/>
      <c r="E54" s="72">
        <f>SUM(E51:E53)</f>
        <v>47.866930681856</v>
      </c>
      <c r="F54" s="72">
        <f>SUM(F51:F53)</f>
        <v>51.679356329216</v>
      </c>
      <c r="G54" s="40" t="s">
        <v>92</v>
      </c>
      <c r="H54" s="56"/>
      <c r="I54" s="56"/>
      <c r="J54" s="56"/>
      <c r="K54" s="56"/>
      <c r="L54" s="56"/>
    </row>
    <row r="55" spans="5:12" s="54" customFormat="1" ht="12.75">
      <c r="E55" s="67"/>
      <c r="F55" s="67"/>
      <c r="G55" s="56"/>
      <c r="H55" s="56"/>
      <c r="I55" s="56"/>
      <c r="J55" s="56"/>
      <c r="K55" s="56"/>
      <c r="L55" s="56"/>
    </row>
    <row r="56" spans="2:6" ht="12.75">
      <c r="B56" s="51" t="s">
        <v>93</v>
      </c>
      <c r="C56" s="51"/>
      <c r="D56" s="51"/>
      <c r="E56" s="67">
        <f>100*E49/E54</f>
        <v>1388567.6837660524</v>
      </c>
      <c r="F56" s="67">
        <f>100*F49/F54</f>
        <v>0</v>
      </c>
    </row>
    <row r="57" ht="12.75">
      <c r="E57" s="52"/>
    </row>
    <row r="58" spans="2:12" s="54" customFormat="1" ht="12.75">
      <c r="B58" s="55" t="s">
        <v>103</v>
      </c>
      <c r="F58" s="56"/>
      <c r="G58" s="51"/>
      <c r="H58" s="51"/>
      <c r="I58" s="51"/>
      <c r="J58" s="67"/>
      <c r="K58" s="56"/>
      <c r="L58" s="56"/>
    </row>
    <row r="59" spans="7:12" s="54" customFormat="1" ht="12.75">
      <c r="G59" s="51"/>
      <c r="H59" s="51"/>
      <c r="I59" s="51"/>
      <c r="J59" s="67"/>
      <c r="K59" s="56"/>
      <c r="L59" s="56"/>
    </row>
    <row r="60" spans="2:12" s="54" customFormat="1" ht="12.75">
      <c r="B60" s="51" t="s">
        <v>56</v>
      </c>
      <c r="C60" s="51"/>
      <c r="D60" s="51"/>
      <c r="E60" s="58">
        <f>(E56/10^5)*E6</f>
        <v>107600.1098150314</v>
      </c>
      <c r="F60" s="58">
        <f>(10*F56/10^6)*F6</f>
        <v>0</v>
      </c>
      <c r="G60" s="51"/>
      <c r="H60" s="51"/>
      <c r="I60" s="51"/>
      <c r="J60" s="67"/>
      <c r="K60" s="56"/>
      <c r="L60" s="56"/>
    </row>
    <row r="61" spans="2:12" s="54" customFormat="1" ht="12.75">
      <c r="B61" s="51" t="s">
        <v>118</v>
      </c>
      <c r="C61" s="51"/>
      <c r="D61" s="51"/>
      <c r="E61" s="57">
        <f>'Excess Air Tool'!E15</f>
        <v>1743525</v>
      </c>
      <c r="F61" s="57">
        <f>E61-E60+F60</f>
        <v>1635924.8901849687</v>
      </c>
      <c r="G61" s="51"/>
      <c r="H61" s="51"/>
      <c r="I61" s="51"/>
      <c r="J61" s="67"/>
      <c r="K61" s="56"/>
      <c r="L61" s="56"/>
    </row>
    <row r="62" spans="2:12" s="54" customFormat="1" ht="12.75">
      <c r="B62" s="51" t="s">
        <v>119</v>
      </c>
      <c r="E62" s="114">
        <f>(E61-F61)/E61</f>
        <v>0.06171411927849115</v>
      </c>
      <c r="G62" s="51"/>
      <c r="H62" s="51"/>
      <c r="I62" s="51"/>
      <c r="J62" s="67"/>
      <c r="K62" s="56"/>
      <c r="L62" s="56"/>
    </row>
    <row r="63" spans="2:12" ht="12.75">
      <c r="B63" s="51" t="s">
        <v>120</v>
      </c>
      <c r="C63" s="51"/>
      <c r="D63" s="51"/>
      <c r="E63" s="113">
        <f>E61-F61</f>
        <v>107600.10981503129</v>
      </c>
      <c r="F63" s="56"/>
      <c r="G63" s="56"/>
      <c r="H63" s="56"/>
      <c r="I63" s="56"/>
      <c r="J63" s="56"/>
      <c r="K63" s="56"/>
      <c r="L63" s="56"/>
    </row>
    <row r="64" spans="2:12" ht="12.75">
      <c r="B64" s="56"/>
      <c r="C64" s="56"/>
      <c r="D64" s="56"/>
      <c r="F64" s="56"/>
      <c r="G64" s="56"/>
      <c r="H64" s="56"/>
      <c r="I64" s="56"/>
      <c r="J64" s="56"/>
      <c r="K64" s="56"/>
      <c r="L64" s="56"/>
    </row>
    <row r="65" spans="2:12" ht="12.75">
      <c r="B65" s="56"/>
      <c r="C65" s="56"/>
      <c r="D65" s="56" t="s">
        <v>123</v>
      </c>
      <c r="E65" s="59">
        <v>266846</v>
      </c>
      <c r="F65" s="56"/>
      <c r="G65" s="56"/>
      <c r="H65" s="56"/>
      <c r="I65" s="56"/>
      <c r="J65" s="56"/>
      <c r="K65" s="56"/>
      <c r="L65" s="56"/>
    </row>
    <row r="66" spans="5:12" ht="12.75">
      <c r="E66" s="52"/>
      <c r="F66" s="56"/>
      <c r="G66" s="56"/>
      <c r="H66" s="56"/>
      <c r="I66" s="56"/>
      <c r="J66" s="56"/>
      <c r="K66" s="56"/>
      <c r="L66" s="56"/>
    </row>
    <row r="67" spans="4:12" ht="12.75">
      <c r="D67" s="56"/>
      <c r="E67" s="61"/>
      <c r="F67" s="56"/>
      <c r="G67" s="56"/>
      <c r="H67" s="56"/>
      <c r="I67" s="56"/>
      <c r="J67" s="56"/>
      <c r="K67" s="56"/>
      <c r="L67" s="56"/>
    </row>
    <row r="68" spans="2:12" ht="12.75">
      <c r="B68" s="56"/>
      <c r="C68" s="56"/>
      <c r="D68" s="56"/>
      <c r="E68" s="73"/>
      <c r="F68" s="56"/>
      <c r="G68" s="56"/>
      <c r="H68" s="56"/>
      <c r="I68" s="56"/>
      <c r="J68" s="56"/>
      <c r="K68" s="56"/>
      <c r="L68" s="56"/>
    </row>
    <row r="69" spans="2:12" ht="12.75">
      <c r="B69" s="74"/>
      <c r="C69" s="74"/>
      <c r="D69" s="74"/>
      <c r="E69" s="74"/>
      <c r="F69" s="74"/>
      <c r="G69" s="74"/>
      <c r="H69" s="74"/>
      <c r="L69" s="56"/>
    </row>
    <row r="70" spans="5:12" ht="12.75">
      <c r="E70" s="52"/>
      <c r="F70" s="74"/>
      <c r="G70" s="74"/>
      <c r="H70" s="75"/>
      <c r="L70" s="56"/>
    </row>
    <row r="71" spans="5:12" ht="12.75">
      <c r="E71" s="52"/>
      <c r="H71" s="75"/>
      <c r="L71" s="56"/>
    </row>
    <row r="72" spans="2:12" ht="12.75">
      <c r="B72" s="74"/>
      <c r="C72" s="74"/>
      <c r="D72" s="74"/>
      <c r="E72" s="68"/>
      <c r="F72" s="74"/>
      <c r="G72" s="74"/>
      <c r="H72" s="75"/>
      <c r="I72" s="76"/>
      <c r="J72" s="74"/>
      <c r="K72" s="74"/>
      <c r="L72" s="56"/>
    </row>
    <row r="73" spans="2:12" ht="12.75">
      <c r="B73" s="40"/>
      <c r="E73" s="77"/>
      <c r="F73" s="74"/>
      <c r="H73" s="56"/>
      <c r="I73" s="56"/>
      <c r="J73" s="56"/>
      <c r="K73" s="56"/>
      <c r="L73" s="56"/>
    </row>
    <row r="74" spans="2:12" ht="12.75">
      <c r="B74" s="40"/>
      <c r="E74" s="74"/>
      <c r="F74" s="74"/>
      <c r="H74" s="56"/>
      <c r="I74" s="56"/>
      <c r="J74" s="56"/>
      <c r="K74" s="56"/>
      <c r="L74" s="56"/>
    </row>
    <row r="75" spans="9:12" ht="12.75">
      <c r="I75" s="56"/>
      <c r="J75" s="56"/>
      <c r="K75" s="56"/>
      <c r="L75" s="56"/>
    </row>
    <row r="76" spans="9:11" ht="12.75">
      <c r="I76" s="56"/>
      <c r="J76" s="56"/>
      <c r="K76" s="56"/>
    </row>
    <row r="82" spans="6:8" ht="12.75">
      <c r="F82" s="74"/>
      <c r="G82" s="74"/>
      <c r="H82" s="74"/>
    </row>
  </sheetData>
  <mergeCells count="1">
    <mergeCell ref="B14:D14"/>
  </mergeCells>
  <printOptions/>
  <pageMargins left="1" right="1" top="1" bottom="1" header="0.5" footer="0.5"/>
  <pageSetup fitToHeight="0" fitToWidth="1" horizontalDpi="600" verticalDpi="600" orientation="portrait" scale="85" r:id="rId1"/>
  <headerFooter alignWithMargins="0">
    <oddFooter>&amp;C
&amp;R&amp;D</oddFooter>
  </headerFooter>
</worksheet>
</file>

<file path=xl/worksheets/sheet5.xml><?xml version="1.0" encoding="utf-8"?>
<worksheet xmlns="http://schemas.openxmlformats.org/spreadsheetml/2006/main" xmlns:r="http://schemas.openxmlformats.org/officeDocument/2006/relationships">
  <sheetPr codeName="Sheet5"/>
  <dimension ref="A1:L78"/>
  <sheetViews>
    <sheetView workbookViewId="0" topLeftCell="A43">
      <selection activeCell="E58" sqref="E58"/>
    </sheetView>
  </sheetViews>
  <sheetFormatPr defaultColWidth="9.140625" defaultRowHeight="12.75"/>
  <cols>
    <col min="1" max="1" width="7.28125" style="52" customWidth="1"/>
    <col min="2" max="2" width="10.421875" style="52" customWidth="1"/>
    <col min="3" max="3" width="19.8515625" style="52" customWidth="1"/>
    <col min="4" max="4" width="11.8515625" style="52" customWidth="1"/>
    <col min="5" max="5" width="11.8515625" style="53" customWidth="1"/>
    <col min="6" max="6" width="11.7109375" style="52" customWidth="1"/>
    <col min="7" max="7" width="11.140625" style="52" bestFit="1" customWidth="1"/>
    <col min="8" max="8" width="11.57421875" style="52" bestFit="1" customWidth="1"/>
    <col min="9" max="16384" width="9.140625" style="52" customWidth="1"/>
  </cols>
  <sheetData>
    <row r="1" s="56" customFormat="1" ht="12.75" customHeight="1">
      <c r="A1" s="15" t="s">
        <v>5</v>
      </c>
    </row>
    <row r="2" s="56" customFormat="1" ht="12.75" customHeight="1">
      <c r="A2" s="30" t="s">
        <v>104</v>
      </c>
    </row>
    <row r="3" s="56" customFormat="1" ht="12.75" customHeight="1">
      <c r="A3" s="30"/>
    </row>
    <row r="4" spans="2:3" s="56" customFormat="1" ht="12.75" customHeight="1">
      <c r="B4" s="51" t="s">
        <v>0</v>
      </c>
      <c r="C4" s="51"/>
    </row>
    <row r="5" spans="2:6" s="56" customFormat="1" ht="12.75" customHeight="1">
      <c r="B5" s="51"/>
      <c r="C5" s="51"/>
      <c r="E5" s="78" t="s">
        <v>40</v>
      </c>
      <c r="F5" s="103" t="s">
        <v>108</v>
      </c>
    </row>
    <row r="6" spans="2:5" s="56" customFormat="1" ht="12.75" customHeight="1">
      <c r="B6" s="102" t="s">
        <v>42</v>
      </c>
      <c r="C6" s="115"/>
      <c r="E6" s="55"/>
    </row>
    <row r="7" spans="2:6" s="56" customFormat="1" ht="12.75" customHeight="1">
      <c r="B7" s="51" t="s">
        <v>49</v>
      </c>
      <c r="C7" s="51"/>
      <c r="E7" s="87">
        <f>'Excess Air Tool'!E11</f>
        <v>50000</v>
      </c>
      <c r="F7" s="112">
        <f>E7</f>
        <v>50000</v>
      </c>
    </row>
    <row r="8" spans="2:6" s="56" customFormat="1" ht="12.75" customHeight="1">
      <c r="B8" s="51" t="s">
        <v>50</v>
      </c>
      <c r="C8" s="51"/>
      <c r="E8" s="87">
        <f>'Excess Air Tool'!E12</f>
        <v>7749</v>
      </c>
      <c r="F8" s="112">
        <f>E8</f>
        <v>7749</v>
      </c>
    </row>
    <row r="9" spans="2:6" s="56" customFormat="1" ht="12.75" customHeight="1">
      <c r="B9" s="51" t="s">
        <v>51</v>
      </c>
      <c r="C9" s="51"/>
      <c r="E9" s="90"/>
      <c r="F9" s="116"/>
    </row>
    <row r="10" spans="2:6" s="56" customFormat="1" ht="12.75" customHeight="1">
      <c r="B10" s="115" t="s">
        <v>33</v>
      </c>
      <c r="C10" s="115"/>
      <c r="E10" s="55"/>
      <c r="F10" s="55"/>
    </row>
    <row r="11" spans="2:6" s="56" customFormat="1" ht="12.75" customHeight="1">
      <c r="B11" s="51" t="s">
        <v>52</v>
      </c>
      <c r="C11" s="51"/>
      <c r="E11" s="87">
        <f>'Excess Air Tool'!E17</f>
        <v>1600</v>
      </c>
      <c r="F11" s="87">
        <f>'Excess Air Tool'!F17</f>
        <v>1600</v>
      </c>
    </row>
    <row r="12" spans="2:6" s="56" customFormat="1" ht="12.75" customHeight="1">
      <c r="B12" s="51" t="s">
        <v>53</v>
      </c>
      <c r="C12" s="51"/>
      <c r="E12" s="88">
        <f>'Excess Air Tool'!E18</f>
        <v>0.04</v>
      </c>
      <c r="F12" s="88">
        <f>'Excess Air Tool'!F18</f>
        <v>0.02</v>
      </c>
    </row>
    <row r="13" spans="2:6" s="56" customFormat="1" ht="12.75" customHeight="1">
      <c r="B13" s="51" t="s">
        <v>54</v>
      </c>
      <c r="C13" s="51"/>
      <c r="E13" s="87">
        <f>'Excess Air Tool'!E19</f>
        <v>80</v>
      </c>
      <c r="F13" s="87">
        <f>'Excess Air Tool'!F19</f>
        <v>80</v>
      </c>
    </row>
    <row r="14" spans="3:5" s="56" customFormat="1" ht="12.75" customHeight="1">
      <c r="C14" s="51"/>
      <c r="E14" s="51"/>
    </row>
    <row r="15" spans="2:6" s="56" customFormat="1" ht="12.75" customHeight="1">
      <c r="B15" s="55" t="s">
        <v>94</v>
      </c>
      <c r="C15" s="51"/>
      <c r="E15" s="51"/>
      <c r="F15" s="87"/>
    </row>
    <row r="16" spans="2:6" s="56" customFormat="1" ht="12.75" customHeight="1">
      <c r="B16" s="51" t="s">
        <v>95</v>
      </c>
      <c r="C16" s="51"/>
      <c r="E16" s="91">
        <f>'Excess Air Tool'!E39</f>
        <v>20</v>
      </c>
      <c r="F16" s="118">
        <f>E16</f>
        <v>20</v>
      </c>
    </row>
    <row r="17" spans="2:6" s="56" customFormat="1" ht="12.75" customHeight="1">
      <c r="B17" s="51" t="s">
        <v>96</v>
      </c>
      <c r="C17" s="51"/>
      <c r="E17" s="119">
        <f>'Excess Air Tool'!E40</f>
        <v>4</v>
      </c>
      <c r="F17" s="120">
        <f>E17</f>
        <v>4</v>
      </c>
    </row>
    <row r="18" spans="2:6" s="56" customFormat="1" ht="12.75" customHeight="1">
      <c r="B18" s="51" t="s">
        <v>97</v>
      </c>
      <c r="C18" s="51"/>
      <c r="E18" s="91">
        <f>'Excess Air Tool'!E41</f>
        <v>36</v>
      </c>
      <c r="F18" s="91">
        <f>'Excess Air Tool'!F41</f>
        <v>0</v>
      </c>
    </row>
    <row r="19" s="56" customFormat="1" ht="12.75" customHeight="1"/>
    <row r="20" s="56" customFormat="1" ht="12.75" customHeight="1">
      <c r="B20" s="55" t="s">
        <v>57</v>
      </c>
    </row>
    <row r="21" spans="2:4" s="56" customFormat="1" ht="12.75" customHeight="1">
      <c r="B21" s="257" t="s">
        <v>58</v>
      </c>
      <c r="C21" s="257"/>
      <c r="D21" s="257"/>
    </row>
    <row r="22" s="56" customFormat="1" ht="12.75" customHeight="1"/>
    <row r="23" s="56" customFormat="1" ht="12.75" customHeight="1">
      <c r="B23" s="56" t="s">
        <v>59</v>
      </c>
    </row>
    <row r="24" s="56" customFormat="1" ht="12.75" customHeight="1">
      <c r="B24" s="56" t="s">
        <v>60</v>
      </c>
    </row>
    <row r="25" spans="2:3" s="56" customFormat="1" ht="12.75" customHeight="1">
      <c r="B25" s="56" t="s">
        <v>61</v>
      </c>
      <c r="C25" s="56" t="s">
        <v>62</v>
      </c>
    </row>
    <row r="26" s="56" customFormat="1" ht="12.75" customHeight="1">
      <c r="B26" s="56">
        <v>6.85703185707211</v>
      </c>
    </row>
    <row r="27" s="56" customFormat="1" ht="12.75" customHeight="1">
      <c r="B27" s="56" t="s">
        <v>63</v>
      </c>
    </row>
    <row r="28" s="56" customFormat="1" ht="12.75" customHeight="1">
      <c r="B28" s="56" t="s">
        <v>64</v>
      </c>
    </row>
    <row r="29" s="56" customFormat="1" ht="12.75" customHeight="1">
      <c r="B29" s="56" t="s">
        <v>65</v>
      </c>
    </row>
    <row r="30" s="56" customFormat="1" ht="12.75" customHeight="1">
      <c r="B30" s="56" t="s">
        <v>66</v>
      </c>
    </row>
    <row r="31" s="56" customFormat="1" ht="12.75" customHeight="1"/>
    <row r="32" s="56" customFormat="1" ht="12.75" customHeight="1">
      <c r="B32" s="55" t="s">
        <v>67</v>
      </c>
    </row>
    <row r="33" spans="1:2" s="56" customFormat="1" ht="12.75" customHeight="1">
      <c r="A33" s="56" t="s">
        <v>68</v>
      </c>
      <c r="B33" s="56" t="s">
        <v>69</v>
      </c>
    </row>
    <row r="34" spans="1:4" s="56" customFormat="1" ht="12.75" customHeight="1">
      <c r="A34" s="56" t="s">
        <v>71</v>
      </c>
      <c r="B34" s="56" t="s">
        <v>72</v>
      </c>
      <c r="D34" s="61" t="s">
        <v>70</v>
      </c>
    </row>
    <row r="35" spans="1:5" s="56" customFormat="1" ht="12.75" customHeight="1">
      <c r="A35" s="64">
        <v>0.1</v>
      </c>
      <c r="B35" s="56">
        <f>$D$35*SQRT(A35)</f>
        <v>423.8716975689696</v>
      </c>
      <c r="C35" s="62" t="s">
        <v>74</v>
      </c>
      <c r="D35" s="64">
        <v>1340.4</v>
      </c>
      <c r="E35" s="56" t="s">
        <v>121</v>
      </c>
    </row>
    <row r="36" spans="1:4" s="56" customFormat="1" ht="12.75" customHeight="1">
      <c r="A36" s="64">
        <v>0.2</v>
      </c>
      <c r="B36" s="56">
        <f>$D$35*SQRT(A36)</f>
        <v>599.4451034081436</v>
      </c>
      <c r="C36" s="62"/>
      <c r="D36" s="63"/>
    </row>
    <row r="37" spans="1:4" s="56" customFormat="1" ht="12.75" customHeight="1">
      <c r="A37" s="64">
        <v>0.3</v>
      </c>
      <c r="B37" s="56">
        <f>$D$35*SQRT(A37)</f>
        <v>734.1673160799246</v>
      </c>
      <c r="C37" s="62"/>
      <c r="D37" s="63"/>
    </row>
    <row r="38" spans="1:4" s="56" customFormat="1" ht="12.75" customHeight="1">
      <c r="A38" s="64">
        <v>0.4</v>
      </c>
      <c r="B38" s="56">
        <f>$D$35*SQRT(A38)</f>
        <v>847.7433951379392</v>
      </c>
      <c r="C38" s="62"/>
      <c r="D38" s="63"/>
    </row>
    <row r="39" s="56" customFormat="1" ht="12.75" customHeight="1"/>
    <row r="40" spans="2:5" s="56" customFormat="1" ht="12.75" customHeight="1">
      <c r="B40" s="40" t="s">
        <v>81</v>
      </c>
      <c r="D40" s="65">
        <v>95</v>
      </c>
      <c r="E40" s="65">
        <v>-0.025</v>
      </c>
    </row>
    <row r="41" spans="2:5" s="56" customFormat="1" ht="12.75" customHeight="1">
      <c r="B41" s="40" t="s">
        <v>82</v>
      </c>
      <c r="D41" s="65">
        <v>-2</v>
      </c>
      <c r="E41" s="65">
        <v>0.02</v>
      </c>
    </row>
    <row r="42" spans="2:5" s="56" customFormat="1" ht="12.75" customHeight="1">
      <c r="B42" s="40" t="s">
        <v>83</v>
      </c>
      <c r="D42" s="65">
        <v>-2</v>
      </c>
      <c r="E42" s="65">
        <v>0.02</v>
      </c>
    </row>
    <row r="43" s="56" customFormat="1" ht="12.75" customHeight="1">
      <c r="B43" s="40" t="s">
        <v>84</v>
      </c>
    </row>
    <row r="44" spans="3:4" s="56" customFormat="1" ht="12.75" customHeight="1">
      <c r="C44" s="62" t="s">
        <v>73</v>
      </c>
      <c r="D44" s="65">
        <v>0.0258</v>
      </c>
    </row>
    <row r="45" spans="3:5" s="56" customFormat="1" ht="12.75" customHeight="1">
      <c r="C45" s="62" t="s">
        <v>74</v>
      </c>
      <c r="D45" s="65">
        <v>3.785494</v>
      </c>
      <c r="E45" s="56" t="s">
        <v>71</v>
      </c>
    </row>
    <row r="46" spans="3:5" s="56" customFormat="1" ht="12.75" customHeight="1">
      <c r="C46" s="62" t="s">
        <v>75</v>
      </c>
      <c r="D46" s="65">
        <v>0.6084412</v>
      </c>
      <c r="E46" s="56" t="s">
        <v>76</v>
      </c>
    </row>
    <row r="47" spans="3:5" s="56" customFormat="1" ht="12.75" customHeight="1">
      <c r="C47" s="62" t="s">
        <v>77</v>
      </c>
      <c r="D47" s="65">
        <f>-6.275275*0.01</f>
        <v>-0.06275275</v>
      </c>
      <c r="E47" s="56" t="s">
        <v>78</v>
      </c>
    </row>
    <row r="48" spans="3:5" s="56" customFormat="1" ht="12.75" customHeight="1">
      <c r="C48" s="62" t="s">
        <v>79</v>
      </c>
      <c r="D48" s="65">
        <v>0.004928106</v>
      </c>
      <c r="E48" s="56" t="s">
        <v>80</v>
      </c>
    </row>
    <row r="49" s="56" customFormat="1" ht="12.75" customHeight="1"/>
    <row r="50" s="56" customFormat="1" ht="12.75" customHeight="1"/>
    <row r="51" spans="2:7" s="56" customFormat="1" ht="12.75" customHeight="1">
      <c r="B51" s="55" t="s">
        <v>14</v>
      </c>
      <c r="E51" s="126"/>
      <c r="F51" s="126"/>
      <c r="G51" s="126"/>
    </row>
    <row r="52" spans="2:7" s="56" customFormat="1" ht="12.75" customHeight="1">
      <c r="B52" s="51" t="s">
        <v>100</v>
      </c>
      <c r="C52" s="51"/>
      <c r="D52" s="51"/>
      <c r="E52" s="67">
        <f>E7*(E11+460)/177500</f>
        <v>580.2816901408451</v>
      </c>
      <c r="F52" s="67">
        <f>F7*(F11+460)/177500</f>
        <v>580.2816901408451</v>
      </c>
      <c r="G52" s="56" t="s">
        <v>124</v>
      </c>
    </row>
    <row r="53" spans="2:7" s="56" customFormat="1" ht="12.75" customHeight="1">
      <c r="B53" s="51" t="s">
        <v>99</v>
      </c>
      <c r="C53" s="51"/>
      <c r="D53" s="51"/>
      <c r="E53" s="97">
        <f>0.0765*(520)/(460+E11)</f>
        <v>0.019310679611650484</v>
      </c>
      <c r="F53" s="97">
        <f>0.0765*(520)/(460+F11)</f>
        <v>0.019310679611650484</v>
      </c>
      <c r="G53" s="56" t="s">
        <v>125</v>
      </c>
    </row>
    <row r="54" spans="2:6" s="56" customFormat="1" ht="12.75" customHeight="1">
      <c r="B54" s="51" t="s">
        <v>102</v>
      </c>
      <c r="C54" s="51"/>
      <c r="D54" s="51"/>
      <c r="E54" s="96">
        <f>0.01467*E16*(1-(520/(E11+460)))</f>
        <v>0.2193378640776699</v>
      </c>
      <c r="F54" s="96">
        <f>0.01467*F16*(1-(520/(F11+460)))</f>
        <v>0.2193378640776699</v>
      </c>
    </row>
    <row r="55" spans="2:6" s="56" customFormat="1" ht="12.75" customHeight="1">
      <c r="B55" s="51" t="s">
        <v>101</v>
      </c>
      <c r="C55" s="51"/>
      <c r="D55" s="51"/>
      <c r="E55" s="96">
        <f>48*E16*E53*E52^2/(E17*12)^5</f>
        <v>0.024498547672970526</v>
      </c>
      <c r="F55" s="96">
        <f>48*F16*F53*F52^2/(F17*12)^5</f>
        <v>0.024498547672970526</v>
      </c>
    </row>
    <row r="56" spans="2:6" s="56" customFormat="1" ht="12.75" customHeight="1">
      <c r="B56" s="51" t="s">
        <v>98</v>
      </c>
      <c r="C56" s="51"/>
      <c r="D56" s="51"/>
      <c r="E56" s="96">
        <f>E54-E55</f>
        <v>0.19483931640469937</v>
      </c>
      <c r="F56" s="96">
        <f>F54-F55</f>
        <v>0.19483931640469937</v>
      </c>
    </row>
    <row r="57" spans="5:6" s="56" customFormat="1" ht="12.75" customHeight="1">
      <c r="E57" s="117"/>
      <c r="F57" s="117"/>
    </row>
    <row r="58" spans="2:6" s="56" customFormat="1" ht="12.75" customHeight="1">
      <c r="B58" s="56" t="s">
        <v>69</v>
      </c>
      <c r="E58" s="121">
        <f>$D$35*SQRT(E56)</f>
        <v>591.6606928449403</v>
      </c>
      <c r="F58" s="121">
        <f>$D$35*SQRT(F56)</f>
        <v>591.6606928449403</v>
      </c>
    </row>
    <row r="59" spans="2:6" s="56" customFormat="1" ht="12.75" customHeight="1">
      <c r="B59" s="51" t="s">
        <v>122</v>
      </c>
      <c r="C59" s="51"/>
      <c r="D59" s="51"/>
      <c r="E59" s="57">
        <f>E58*E18</f>
        <v>21299.78494241785</v>
      </c>
      <c r="F59" s="57">
        <f>F58*F18</f>
        <v>0</v>
      </c>
    </row>
    <row r="60" spans="2:6" s="56" customFormat="1" ht="12.75" customHeight="1">
      <c r="B60" s="51" t="s">
        <v>85</v>
      </c>
      <c r="C60" s="51"/>
      <c r="D60" s="51"/>
      <c r="E60" s="67">
        <f>E59*0.02*(E11-60)</f>
        <v>656033.3762264698</v>
      </c>
      <c r="F60" s="67">
        <f>F59*0.02*(F11-60)</f>
        <v>0</v>
      </c>
    </row>
    <row r="61" spans="2:7" s="56" customFormat="1" ht="12.75" customHeight="1">
      <c r="B61" s="40" t="s">
        <v>86</v>
      </c>
      <c r="E61" s="68">
        <f>$D$44+$D$45*(100*E12)+$D$46*(100*E12)^2+$D$47*(100*E12)^3+$D$48*(100*E12)^4</f>
        <v>22.148254335999997</v>
      </c>
      <c r="F61" s="68">
        <f>$D$44+$D$45*(100*F12)+$D$46*(100*F12)^2+$D$47*(100*F12)^3+$D$48*(100*F12)^4</f>
        <v>9.607380496000001</v>
      </c>
      <c r="G61" s="56" t="s">
        <v>87</v>
      </c>
    </row>
    <row r="62" spans="2:6" s="56" customFormat="1" ht="12.75" customHeight="1">
      <c r="B62" s="40" t="s">
        <v>88</v>
      </c>
      <c r="E62" s="92">
        <f>$D$40+$E$40*E11</f>
        <v>55</v>
      </c>
      <c r="F62" s="92">
        <f>$D$40+$E$40*F11</f>
        <v>55</v>
      </c>
    </row>
    <row r="63" spans="2:6" s="56" customFormat="1" ht="12.75" customHeight="1">
      <c r="B63" s="40" t="s">
        <v>89</v>
      </c>
      <c r="E63" s="93">
        <f>-($D$41+$E$41*E11)*(E61/100)</f>
        <v>-6.644476300799999</v>
      </c>
      <c r="F63" s="93">
        <f>-($D$41+$E$41*F11)*(F61/100)</f>
        <v>-2.8822141488</v>
      </c>
    </row>
    <row r="64" spans="2:6" s="56" customFormat="1" ht="12.75" customHeight="1">
      <c r="B64" s="40" t="s">
        <v>90</v>
      </c>
      <c r="E64" s="94">
        <f>($D$42+$E$42*E13)*(1+E61/100)</f>
        <v>-0.4885930173439999</v>
      </c>
      <c r="F64" s="94">
        <f>($D$42+$E$42*F13)*(1+F61/100)</f>
        <v>-0.4384295219839999</v>
      </c>
    </row>
    <row r="65" spans="2:7" s="56" customFormat="1" ht="12.75" customHeight="1">
      <c r="B65" s="40" t="s">
        <v>91</v>
      </c>
      <c r="C65" s="52"/>
      <c r="E65" s="95">
        <f>SUM(E62:E64)</f>
        <v>47.866930681856</v>
      </c>
      <c r="F65" s="95">
        <f>SUM(F62:F64)</f>
        <v>51.679356329216</v>
      </c>
      <c r="G65" s="40" t="s">
        <v>92</v>
      </c>
    </row>
    <row r="66" s="56" customFormat="1" ht="12.75" customHeight="1"/>
    <row r="67" spans="2:6" s="56" customFormat="1" ht="12.75" customHeight="1">
      <c r="B67" s="51" t="s">
        <v>93</v>
      </c>
      <c r="C67" s="51"/>
      <c r="D67" s="51"/>
      <c r="E67" s="67">
        <f>100*E60/E65</f>
        <v>1370535.7057187287</v>
      </c>
      <c r="F67" s="67">
        <f>100*F60/F65</f>
        <v>0</v>
      </c>
    </row>
    <row r="68" spans="5:6" s="56" customFormat="1" ht="12.75" customHeight="1">
      <c r="E68" s="62"/>
      <c r="F68" s="62"/>
    </row>
    <row r="69" spans="2:6" s="56" customFormat="1" ht="12.75" customHeight="1">
      <c r="B69" s="55" t="s">
        <v>103</v>
      </c>
      <c r="E69" s="62"/>
      <c r="F69" s="62"/>
    </row>
    <row r="70" s="56" customFormat="1" ht="12.75" customHeight="1"/>
    <row r="71" spans="2:6" s="56" customFormat="1" ht="12.75" customHeight="1">
      <c r="B71" s="51" t="s">
        <v>56</v>
      </c>
      <c r="C71" s="51"/>
      <c r="D71" s="51"/>
      <c r="E71" s="58">
        <f>(E67/10^5)*E8</f>
        <v>106202.81183614429</v>
      </c>
      <c r="F71" s="58">
        <f>(F67/10^5)*F8</f>
        <v>0</v>
      </c>
    </row>
    <row r="72" spans="2:6" s="56" customFormat="1" ht="12.75" customHeight="1">
      <c r="B72" s="51" t="s">
        <v>118</v>
      </c>
      <c r="C72" s="51"/>
      <c r="D72" s="51"/>
      <c r="E72" s="57">
        <f>'Excess Air Tool'!E15</f>
        <v>1743525</v>
      </c>
      <c r="F72" s="57">
        <f>E72-E71+F71</f>
        <v>1637322.1881638558</v>
      </c>
    </row>
    <row r="73" spans="2:6" s="56" customFormat="1" ht="12.75" customHeight="1">
      <c r="B73" s="51" t="s">
        <v>119</v>
      </c>
      <c r="C73" s="54"/>
      <c r="D73" s="54"/>
      <c r="E73" s="114">
        <f>(E72-F72)/E72</f>
        <v>0.06091269803194344</v>
      </c>
      <c r="F73" s="54"/>
    </row>
    <row r="74" spans="2:12" ht="12.75">
      <c r="B74" s="51" t="s">
        <v>120</v>
      </c>
      <c r="C74" s="51"/>
      <c r="D74" s="51"/>
      <c r="E74" s="113">
        <f>E72-F72</f>
        <v>106202.81183614419</v>
      </c>
      <c r="F74" s="56"/>
      <c r="G74" s="79"/>
      <c r="H74" s="80"/>
      <c r="I74" s="81"/>
      <c r="J74" s="79"/>
      <c r="K74" s="81"/>
      <c r="L74" s="79"/>
    </row>
    <row r="75" spans="2:12" ht="12.75">
      <c r="B75" s="79"/>
      <c r="C75" s="79"/>
      <c r="D75" s="79"/>
      <c r="E75" s="82"/>
      <c r="F75" s="79"/>
      <c r="G75" s="79"/>
      <c r="H75" s="80"/>
      <c r="I75" s="81"/>
      <c r="J75" s="79"/>
      <c r="K75" s="79"/>
      <c r="L75" s="79"/>
    </row>
    <row r="76" spans="2:12" ht="12.75">
      <c r="B76" s="79"/>
      <c r="C76" s="79"/>
      <c r="D76" s="79"/>
      <c r="E76" s="59">
        <v>188909</v>
      </c>
      <c r="F76" s="79"/>
      <c r="G76" s="79"/>
      <c r="H76" s="80"/>
      <c r="I76" s="81"/>
      <c r="J76" s="79"/>
      <c r="K76" s="79"/>
      <c r="L76" s="79"/>
    </row>
    <row r="77" spans="2:12" ht="12.75">
      <c r="B77" s="79"/>
      <c r="C77" s="79"/>
      <c r="D77" s="79"/>
      <c r="E77" s="52"/>
      <c r="F77" s="79"/>
      <c r="G77" s="79"/>
      <c r="H77" s="80"/>
      <c r="I77" s="81"/>
      <c r="J77" s="79"/>
      <c r="K77" s="79"/>
      <c r="L77" s="79"/>
    </row>
    <row r="78" spans="2:12" ht="12.75">
      <c r="B78" s="79"/>
      <c r="C78" s="79"/>
      <c r="D78" s="79"/>
      <c r="E78" s="82"/>
      <c r="F78" s="79"/>
      <c r="G78" s="79"/>
      <c r="H78" s="80"/>
      <c r="I78" s="81"/>
      <c r="J78" s="79"/>
      <c r="K78" s="79"/>
      <c r="L78" s="79"/>
    </row>
  </sheetData>
  <mergeCells count="1">
    <mergeCell ref="B21:D21"/>
  </mergeCells>
  <printOptions horizontalCentered="1" verticalCentered="1"/>
  <pageMargins left="0.75" right="0.75" top="1.68" bottom="1" header="1.02" footer="0.5"/>
  <pageSetup horizontalDpi="600" verticalDpi="600" orientation="portrait" r:id="rId1"/>
  <headerFooter alignWithMargins="0">
    <oddHeader xml:space="preserve">&amp;C&amp;"Arial,Bold"&amp;14Potential Savings 
Through Reduction in Draft (Negative Pressure) in a Furnace </oddHeader>
    <oddFooter>&amp;LDeveloped By
A. C. Thekdi, E3M, Inc.
&amp;"Arial,Bold"athekdi@e3minc.com&amp;CPage &amp;P of &amp;N
&amp;R&amp;D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v2.1</dc:description>
  <cp:lastModifiedBy>Stu Knoke</cp:lastModifiedBy>
  <cp:lastPrinted>2006-04-07T01:41:20Z</cp:lastPrinted>
  <dcterms:created xsi:type="dcterms:W3CDTF">2006-03-10T19:44:00Z</dcterms:created>
  <dcterms:modified xsi:type="dcterms:W3CDTF">2006-04-07T19:30:36Z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