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charts/chart7.xml" ContentType="application/vnd.openxmlformats-officedocument.drawingml.chart+xml"/>
  <Override PartName="/xl/charts/chart10.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updateLinks="never" codeName="ThisWorkbook" defaultThemeVersion="124226"/>
  <bookViews>
    <workbookView xWindow="30" yWindow="0" windowWidth="8520" windowHeight="11505" tabRatio="776"/>
  </bookViews>
  <sheets>
    <sheet name="RRM Calculator" sheetId="2" r:id="rId1"/>
    <sheet name="ERT Summary" sheetId="7" r:id="rId2"/>
    <sheet name="PGEAdj" sheetId="8" r:id="rId3"/>
    <sheet name="SCEAdj" sheetId="9" r:id="rId4"/>
    <sheet name="SDGEAdj" sheetId="10" r:id="rId5"/>
    <sheet name="SoCalGasAdj" sheetId="11" r:id="rId6"/>
    <sheet name="04-05 EE Tables" sheetId="6" r:id="rId7"/>
    <sheet name="04-09 LIEE Tables" sheetId="4" r:id="rId8"/>
    <sheet name="Pre-06 C&amp;S Tables" sheetId="3" r:id="rId9"/>
    <sheet name="C&amp;S2006-09" sheetId="15" r:id="rId10"/>
    <sheet name="Savings Goals D.04-09-060" sheetId="1" r:id="rId11"/>
    <sheet name="Authorized Payments" sheetId="14" r:id="rId12"/>
    <sheet name="log" sheetId="12" r:id="rId13"/>
  </sheets>
  <externalReferences>
    <externalReference r:id="rId14"/>
    <externalReference r:id="rId15"/>
  </externalReferences>
  <definedNames>
    <definedName name="_Ref208203696" localSheetId="8">'Pre-06 C&amp;S Tables'!$B$3</definedName>
    <definedName name="_Ref208203787" localSheetId="8">'Pre-06 C&amp;S Tables'!$B$15</definedName>
    <definedName name="_Ref208203813" localSheetId="8">'Pre-06 C&amp;S Tables'!$B$27</definedName>
    <definedName name="_xlnm.Criteria" localSheetId="9">#REF!</definedName>
    <definedName name="_xlnm.Criteria" localSheetId="1">#REF!</definedName>
    <definedName name="_xlnm.Criteria" localSheetId="0">#REF!</definedName>
    <definedName name="_xlnm.Criteria">#REF!</definedName>
    <definedName name="Criteria_MI" localSheetId="9">#REF!</definedName>
    <definedName name="Criteria_MI" localSheetId="1">#REF!</definedName>
    <definedName name="Criteria_MI" localSheetId="0">#REF!</definedName>
    <definedName name="Criteria_MI">#REF!</definedName>
    <definedName name="_xlnm.Database" localSheetId="9">#REF!</definedName>
    <definedName name="_xlnm.Database" localSheetId="1">#REF!</definedName>
    <definedName name="_xlnm.Database" localSheetId="0">#REF!</definedName>
    <definedName name="_xlnm.Database">#REF!</definedName>
    <definedName name="Database_MI" localSheetId="9">#REF!</definedName>
    <definedName name="Database_MI" localSheetId="1">#REF!</definedName>
    <definedName name="Database_MI" localSheetId="0">#REF!</definedName>
    <definedName name="Database_MI">#REF!</definedName>
    <definedName name="_xlnm.Extract" localSheetId="9">#REF!</definedName>
    <definedName name="_xlnm.Extract" localSheetId="1">#REF!</definedName>
    <definedName name="_xlnm.Extract" localSheetId="0">#REF!</definedName>
    <definedName name="_xlnm.Extract">#REF!</definedName>
    <definedName name="Extract_MI" localSheetId="9">#REF!</definedName>
    <definedName name="Extract_MI" localSheetId="1">#REF!</definedName>
    <definedName name="Extract_MI" localSheetId="0">#REF!</definedName>
    <definedName name="Extract_MI">#REF!</definedName>
    <definedName name="_xlnm.Print_Area" localSheetId="1">'ERT Summary'!$B$1:$N$19</definedName>
    <definedName name="_xlnm.Print_Area" localSheetId="0">'RRM Calculator'!$B$1:$G$71</definedName>
  </definedNames>
  <calcPr calcId="125725"/>
</workbook>
</file>

<file path=xl/calcChain.xml><?xml version="1.0" encoding="utf-8"?>
<calcChain xmlns="http://schemas.openxmlformats.org/spreadsheetml/2006/main">
  <c r="F37" i="7"/>
  <c r="I15" s="1"/>
  <c r="E37"/>
  <c r="G37" s="1"/>
  <c r="G36"/>
  <c r="G52"/>
  <c r="G53"/>
  <c r="F54"/>
  <c r="E54"/>
  <c r="G54" s="1"/>
  <c r="G51"/>
  <c r="G50"/>
  <c r="G46"/>
  <c r="L11" s="1"/>
  <c r="G43"/>
  <c r="V26" i="2" s="1"/>
  <c r="G34" i="7"/>
  <c r="G35"/>
  <c r="G33"/>
  <c r="M11"/>
  <c r="G27"/>
  <c r="I11" s="1"/>
  <c r="F27"/>
  <c r="I10" s="1"/>
  <c r="K10" s="1"/>
  <c r="E27"/>
  <c r="I9" s="1"/>
  <c r="G23"/>
  <c r="G28" s="1"/>
  <c r="F23"/>
  <c r="U25" i="2" s="1"/>
  <c r="E23" i="7"/>
  <c r="E28" s="1"/>
  <c r="C34" i="2"/>
  <c r="D34"/>
  <c r="I34" s="1"/>
  <c r="E34"/>
  <c r="J34" s="1"/>
  <c r="H34"/>
  <c r="Q34"/>
  <c r="C35"/>
  <c r="D35"/>
  <c r="I35" s="1"/>
  <c r="E35"/>
  <c r="J35" s="1"/>
  <c r="Q35"/>
  <c r="C36"/>
  <c r="E36"/>
  <c r="F36"/>
  <c r="K36" s="1"/>
  <c r="J36"/>
  <c r="Q36"/>
  <c r="O30"/>
  <c r="G28" i="15"/>
  <c r="G29" s="1"/>
  <c r="F28"/>
  <c r="F29" s="1"/>
  <c r="E22"/>
  <c r="E29" s="1"/>
  <c r="D22"/>
  <c r="D29" s="1"/>
  <c r="C22"/>
  <c r="C29" s="1"/>
  <c r="B22"/>
  <c r="B29" s="1"/>
  <c r="G16"/>
  <c r="F16"/>
  <c r="O31" i="2" s="1"/>
  <c r="E16" i="15"/>
  <c r="D16"/>
  <c r="C16"/>
  <c r="B16"/>
  <c r="O29" i="2" s="1"/>
  <c r="Q29" s="1"/>
  <c r="G10" i="15"/>
  <c r="F10"/>
  <c r="E10"/>
  <c r="D10"/>
  <c r="C10"/>
  <c r="B10"/>
  <c r="P41" i="2"/>
  <c r="J32" i="4"/>
  <c r="I25"/>
  <c r="J25"/>
  <c r="I18"/>
  <c r="H18"/>
  <c r="I11"/>
  <c r="J11"/>
  <c r="H11"/>
  <c r="E53"/>
  <c r="C53"/>
  <c r="D53"/>
  <c r="P10" i="2"/>
  <c r="P20" s="1"/>
  <c r="O9"/>
  <c r="O19" s="1"/>
  <c r="O10"/>
  <c r="O20" s="1"/>
  <c r="O8"/>
  <c r="O18" s="1"/>
  <c r="N19"/>
  <c r="N18"/>
  <c r="M20"/>
  <c r="M19"/>
  <c r="M18"/>
  <c r="N5" i="1"/>
  <c r="N6"/>
  <c r="N9"/>
  <c r="N10"/>
  <c r="N13"/>
  <c r="N14"/>
  <c r="N15"/>
  <c r="N18"/>
  <c r="N4"/>
  <c r="B33"/>
  <c r="B32"/>
  <c r="B31"/>
  <c r="B30"/>
  <c r="B29"/>
  <c r="B28"/>
  <c r="B27"/>
  <c r="B26"/>
  <c r="B25"/>
  <c r="F18"/>
  <c r="F15"/>
  <c r="J10" i="2" s="1"/>
  <c r="F14" i="1"/>
  <c r="J9" i="2" s="1"/>
  <c r="F13" i="1"/>
  <c r="F10"/>
  <c r="I9" i="2" s="1"/>
  <c r="F9" i="1"/>
  <c r="F6"/>
  <c r="H10" i="2" s="1"/>
  <c r="F5" i="1"/>
  <c r="F4"/>
  <c r="H8" i="2" s="1"/>
  <c r="H18" s="1"/>
  <c r="C8" i="14"/>
  <c r="D5"/>
  <c r="E5" s="1"/>
  <c r="F4" s="1"/>
  <c r="D6"/>
  <c r="E6" s="1"/>
  <c r="G4" s="1"/>
  <c r="D7"/>
  <c r="E7" s="1"/>
  <c r="H4" s="1"/>
  <c r="D4"/>
  <c r="E4" s="1"/>
  <c r="J8" i="2"/>
  <c r="J13" s="1"/>
  <c r="J31" i="4"/>
  <c r="J24"/>
  <c r="H24"/>
  <c r="H17"/>
  <c r="J10"/>
  <c r="H10"/>
  <c r="I10" s="1"/>
  <c r="L68" i="2"/>
  <c r="J9" i="7"/>
  <c r="G9"/>
  <c r="N44" i="2"/>
  <c r="D11" i="7"/>
  <c r="D10"/>
  <c r="D9"/>
  <c r="M44" i="2"/>
  <c r="H24"/>
  <c r="M9" i="7"/>
  <c r="N9" s="1"/>
  <c r="G10"/>
  <c r="N45" i="2"/>
  <c r="J10" i="7"/>
  <c r="M10"/>
  <c r="N10" s="1"/>
  <c r="G11"/>
  <c r="H11" s="1"/>
  <c r="J11"/>
  <c r="D14"/>
  <c r="E14" s="1"/>
  <c r="G14"/>
  <c r="H14" s="1"/>
  <c r="J14"/>
  <c r="M14"/>
  <c r="N14" s="1"/>
  <c r="D15"/>
  <c r="E15" s="1"/>
  <c r="G15"/>
  <c r="H15" s="1"/>
  <c r="J15"/>
  <c r="M15"/>
  <c r="N15" s="1"/>
  <c r="C31" i="4"/>
  <c r="P6" s="1"/>
  <c r="P13" s="1"/>
  <c r="O16"/>
  <c r="C29" i="2"/>
  <c r="H29" s="1"/>
  <c r="D29"/>
  <c r="I29" s="1"/>
  <c r="E29"/>
  <c r="J29" s="1"/>
  <c r="C30"/>
  <c r="H30" s="1"/>
  <c r="D30"/>
  <c r="I30" s="1"/>
  <c r="E30"/>
  <c r="J30" s="1"/>
  <c r="C31"/>
  <c r="H31" s="1"/>
  <c r="E31"/>
  <c r="J31" s="1"/>
  <c r="F31"/>
  <c r="K31" s="1"/>
  <c r="E25" i="4"/>
  <c r="Q16" s="1"/>
  <c r="D19"/>
  <c r="I21" s="1"/>
  <c r="E19"/>
  <c r="Q15" s="1"/>
  <c r="C43"/>
  <c r="C19" s="1"/>
  <c r="D13"/>
  <c r="I14" s="1"/>
  <c r="C42"/>
  <c r="C13" s="1"/>
  <c r="D7"/>
  <c r="I7"/>
  <c r="E7"/>
  <c r="Q13" s="1"/>
  <c r="C41"/>
  <c r="C7" s="1"/>
  <c r="J27"/>
  <c r="F41" i="2" s="1"/>
  <c r="K41" s="1"/>
  <c r="J29" i="4"/>
  <c r="J30"/>
  <c r="J20"/>
  <c r="J22"/>
  <c r="O41" i="2" s="1"/>
  <c r="Q41" s="1"/>
  <c r="J23" i="4"/>
  <c r="C33"/>
  <c r="P8" s="1"/>
  <c r="P15" s="1"/>
  <c r="I22"/>
  <c r="I23"/>
  <c r="O40" i="2" s="1"/>
  <c r="Q40" s="1"/>
  <c r="H20" i="4"/>
  <c r="H22"/>
  <c r="H23"/>
  <c r="C32"/>
  <c r="I17" s="1"/>
  <c r="I15"/>
  <c r="I16"/>
  <c r="H13"/>
  <c r="H15"/>
  <c r="H16"/>
  <c r="J6"/>
  <c r="J8"/>
  <c r="M11" s="1"/>
  <c r="J9"/>
  <c r="I8"/>
  <c r="L11" s="1"/>
  <c r="I9"/>
  <c r="H6"/>
  <c r="H8"/>
  <c r="H9"/>
  <c r="K11" s="1"/>
  <c r="C8" i="2"/>
  <c r="C13" s="1"/>
  <c r="C9"/>
  <c r="C19" s="1"/>
  <c r="C10"/>
  <c r="C20" s="1"/>
  <c r="F10"/>
  <c r="F15" s="1"/>
  <c r="E8"/>
  <c r="E18" s="1"/>
  <c r="E9"/>
  <c r="E14" s="1"/>
  <c r="E10"/>
  <c r="E15" s="1"/>
  <c r="D8"/>
  <c r="D18" s="1"/>
  <c r="D9"/>
  <c r="D14" s="1"/>
  <c r="H9"/>
  <c r="H19" s="1"/>
  <c r="H14"/>
  <c r="I8"/>
  <c r="I18" s="1"/>
  <c r="K10"/>
  <c r="K20" s="1"/>
  <c r="M11"/>
  <c r="N11"/>
  <c r="O11"/>
  <c r="P11"/>
  <c r="M12"/>
  <c r="N12"/>
  <c r="O12"/>
  <c r="P12"/>
  <c r="F13"/>
  <c r="K13"/>
  <c r="P13" s="1"/>
  <c r="F14"/>
  <c r="K14"/>
  <c r="P14"/>
  <c r="D15"/>
  <c r="I15"/>
  <c r="N15" s="1"/>
  <c r="M16"/>
  <c r="N16"/>
  <c r="O16"/>
  <c r="P16"/>
  <c r="M17"/>
  <c r="N17"/>
  <c r="O17"/>
  <c r="P17"/>
  <c r="F18"/>
  <c r="K18"/>
  <c r="P18"/>
  <c r="F19"/>
  <c r="K19"/>
  <c r="P19" s="1"/>
  <c r="D20"/>
  <c r="I20"/>
  <c r="N20"/>
  <c r="G24"/>
  <c r="G25"/>
  <c r="G26"/>
  <c r="F44"/>
  <c r="K44"/>
  <c r="P44"/>
  <c r="F45"/>
  <c r="K45"/>
  <c r="P45"/>
  <c r="D46"/>
  <c r="I46"/>
  <c r="N46"/>
  <c r="G55"/>
  <c r="G56"/>
  <c r="G57"/>
  <c r="G60"/>
  <c r="L60"/>
  <c r="Q60"/>
  <c r="G68"/>
  <c r="H30" i="4"/>
  <c r="H29"/>
  <c r="H28"/>
  <c r="H27"/>
  <c r="D12"/>
  <c r="I13" s="1"/>
  <c r="J28"/>
  <c r="P7"/>
  <c r="P14" s="1"/>
  <c r="I24"/>
  <c r="J7"/>
  <c r="C41" i="2" s="1"/>
  <c r="E20"/>
  <c r="Q30"/>
  <c r="I25"/>
  <c r="C15"/>
  <c r="H26"/>
  <c r="I24"/>
  <c r="Q10"/>
  <c r="G31"/>
  <c r="K15"/>
  <c r="I13"/>
  <c r="M13"/>
  <c r="M14"/>
  <c r="M15"/>
  <c r="N14"/>
  <c r="N13"/>
  <c r="O15"/>
  <c r="P15"/>
  <c r="H25"/>
  <c r="M46"/>
  <c r="M45"/>
  <c r="F28" i="7"/>
  <c r="U26" i="2"/>
  <c r="I14" i="7"/>
  <c r="K14" s="1"/>
  <c r="N62" i="2"/>
  <c r="N58"/>
  <c r="M62"/>
  <c r="M58"/>
  <c r="M64" s="1"/>
  <c r="G47" i="7" l="1"/>
  <c r="G8" i="2"/>
  <c r="G30"/>
  <c r="G10"/>
  <c r="C18"/>
  <c r="J18"/>
  <c r="K11" i="7"/>
  <c r="J26" i="2" s="1"/>
  <c r="J55"/>
  <c r="O55"/>
  <c r="K15" i="7"/>
  <c r="J56" i="2" s="1"/>
  <c r="J57" s="1"/>
  <c r="N56"/>
  <c r="I56"/>
  <c r="P55"/>
  <c r="K55"/>
  <c r="H15"/>
  <c r="H20"/>
  <c r="L10"/>
  <c r="I14"/>
  <c r="L14" s="1"/>
  <c r="L9"/>
  <c r="J19"/>
  <c r="J14"/>
  <c r="J25"/>
  <c r="O25"/>
  <c r="N12" i="7"/>
  <c r="N11"/>
  <c r="H41" i="2"/>
  <c r="C46"/>
  <c r="H7" i="4"/>
  <c r="O13"/>
  <c r="H14"/>
  <c r="O14"/>
  <c r="H21"/>
  <c r="E39" i="2" s="1"/>
  <c r="O15" i="4"/>
  <c r="O56" i="2"/>
  <c r="H56"/>
  <c r="M56"/>
  <c r="M55"/>
  <c r="H55"/>
  <c r="J20"/>
  <c r="J15"/>
  <c r="D40"/>
  <c r="C39"/>
  <c r="C44" s="1"/>
  <c r="D39"/>
  <c r="D44" s="1"/>
  <c r="D49" s="1"/>
  <c r="E8" i="14"/>
  <c r="O26" i="2"/>
  <c r="K9" i="7"/>
  <c r="J24" i="2" s="1"/>
  <c r="D8" i="14"/>
  <c r="Q19" i="2"/>
  <c r="H25" i="4"/>
  <c r="O39" i="2" s="1"/>
  <c r="Q39" s="1"/>
  <c r="P31"/>
  <c r="Q31" s="1"/>
  <c r="G35"/>
  <c r="N64"/>
  <c r="U24"/>
  <c r="O13"/>
  <c r="Q13" s="1"/>
  <c r="O14"/>
  <c r="Q14" s="1"/>
  <c r="D13"/>
  <c r="G9"/>
  <c r="Q8"/>
  <c r="F20"/>
  <c r="G20" s="1"/>
  <c r="D6" i="4"/>
  <c r="I6" s="1"/>
  <c r="C40" i="2" s="1"/>
  <c r="G29"/>
  <c r="J21" i="4"/>
  <c r="E41" i="2" s="1"/>
  <c r="J41" s="1"/>
  <c r="D18" i="4"/>
  <c r="I20" s="1"/>
  <c r="E40" i="2" s="1"/>
  <c r="J40" s="1"/>
  <c r="J45" s="1"/>
  <c r="J50" s="1"/>
  <c r="Q9"/>
  <c r="Q20"/>
  <c r="L30"/>
  <c r="O46"/>
  <c r="G36"/>
  <c r="G34"/>
  <c r="I39"/>
  <c r="Q15"/>
  <c r="C45"/>
  <c r="C50" s="1"/>
  <c r="F46"/>
  <c r="F51" s="1"/>
  <c r="G15"/>
  <c r="L18"/>
  <c r="I19"/>
  <c r="E19"/>
  <c r="C14"/>
  <c r="G14" s="1"/>
  <c r="E13"/>
  <c r="G13" s="1"/>
  <c r="G18"/>
  <c r="J46"/>
  <c r="J51" s="1"/>
  <c r="Q18"/>
  <c r="H36"/>
  <c r="L36" s="1"/>
  <c r="H35"/>
  <c r="L35" s="1"/>
  <c r="L34"/>
  <c r="L29"/>
  <c r="K56"/>
  <c r="P56"/>
  <c r="M57"/>
  <c r="P57"/>
  <c r="I44"/>
  <c r="I49" s="1"/>
  <c r="L31"/>
  <c r="I55"/>
  <c r="N55"/>
  <c r="N57" s="1"/>
  <c r="O24"/>
  <c r="C51"/>
  <c r="L8"/>
  <c r="H13"/>
  <c r="L13" s="1"/>
  <c r="D19"/>
  <c r="O57" l="1"/>
  <c r="E45"/>
  <c r="E50" s="1"/>
  <c r="G19"/>
  <c r="Q56"/>
  <c r="L19"/>
  <c r="C49"/>
  <c r="C52" s="1"/>
  <c r="C58" s="1"/>
  <c r="C62" s="1"/>
  <c r="C64" s="1"/>
  <c r="D45"/>
  <c r="I40"/>
  <c r="I45" s="1"/>
  <c r="I50" s="1"/>
  <c r="I52" s="1"/>
  <c r="P26"/>
  <c r="K26"/>
  <c r="O45"/>
  <c r="Q25"/>
  <c r="E46"/>
  <c r="E51" s="1"/>
  <c r="H57"/>
  <c r="G41"/>
  <c r="L41"/>
  <c r="L15"/>
  <c r="H40"/>
  <c r="G40"/>
  <c r="H39"/>
  <c r="G39"/>
  <c r="E44"/>
  <c r="E49" s="1"/>
  <c r="J39"/>
  <c r="J44" s="1"/>
  <c r="J49" s="1"/>
  <c r="J52" s="1"/>
  <c r="L20"/>
  <c r="O51"/>
  <c r="H46"/>
  <c r="H45"/>
  <c r="F58"/>
  <c r="F52"/>
  <c r="O44"/>
  <c r="Q24"/>
  <c r="I57"/>
  <c r="L55"/>
  <c r="L56"/>
  <c r="K57"/>
  <c r="Q57"/>
  <c r="L24"/>
  <c r="Q55"/>
  <c r="I66" l="1"/>
  <c r="I58"/>
  <c r="I62"/>
  <c r="I64" s="1"/>
  <c r="G46"/>
  <c r="G51" s="1"/>
  <c r="L40"/>
  <c r="L39"/>
  <c r="H44"/>
  <c r="H49" s="1"/>
  <c r="O50"/>
  <c r="Q45"/>
  <c r="Q50" s="1"/>
  <c r="P46"/>
  <c r="Q26"/>
  <c r="D50"/>
  <c r="D52" s="1"/>
  <c r="D58" s="1"/>
  <c r="D62" s="1"/>
  <c r="D64" s="1"/>
  <c r="G45"/>
  <c r="G50" s="1"/>
  <c r="E52"/>
  <c r="E58" s="1"/>
  <c r="E62" s="1"/>
  <c r="E64" s="1"/>
  <c r="K46"/>
  <c r="K51" s="1"/>
  <c r="L26"/>
  <c r="F62"/>
  <c r="F64" s="1"/>
  <c r="G64" s="1"/>
  <c r="G44"/>
  <c r="G49" s="1"/>
  <c r="H50"/>
  <c r="L45"/>
  <c r="L50" s="1"/>
  <c r="L46"/>
  <c r="L51" s="1"/>
  <c r="H51"/>
  <c r="J58"/>
  <c r="J62" s="1"/>
  <c r="J64" s="1"/>
  <c r="J66"/>
  <c r="O49"/>
  <c r="Q44"/>
  <c r="Q49" s="1"/>
  <c r="L44"/>
  <c r="L49" s="1"/>
  <c r="L57"/>
  <c r="G58"/>
  <c r="H52" l="1"/>
  <c r="H66" s="1"/>
  <c r="G52"/>
  <c r="K58"/>
  <c r="L58" s="1"/>
  <c r="K52"/>
  <c r="P51"/>
  <c r="Q46"/>
  <c r="Q51" s="1"/>
  <c r="Q52" s="1"/>
  <c r="L52"/>
  <c r="H58"/>
  <c r="O52"/>
  <c r="O66"/>
  <c r="O68" s="1"/>
  <c r="O62"/>
  <c r="O58"/>
  <c r="H62" l="1"/>
  <c r="H64" s="1"/>
  <c r="P52"/>
  <c r="P62" s="1"/>
  <c r="P66"/>
  <c r="P68" s="1"/>
  <c r="Q68" s="1"/>
  <c r="P58"/>
  <c r="Q58" s="1"/>
  <c r="K66"/>
  <c r="K62"/>
  <c r="K64" s="1"/>
  <c r="L64" s="1"/>
  <c r="O64"/>
  <c r="P64" l="1"/>
  <c r="Q64" s="1"/>
</calcChain>
</file>

<file path=xl/comments1.xml><?xml version="1.0" encoding="utf-8"?>
<comments xmlns="http://schemas.openxmlformats.org/spreadsheetml/2006/main">
  <authors>
    <author>Jeorge Tagnipes</author>
  </authors>
  <commentList>
    <comment ref="G1" authorId="0">
      <text>
        <r>
          <rPr>
            <b/>
            <sz val="8"/>
            <color indexed="81"/>
            <rFont val="Tahoma"/>
            <family val="2"/>
          </rPr>
          <t>Jeorge Tagnipes:</t>
        </r>
        <r>
          <rPr>
            <sz val="8"/>
            <color indexed="81"/>
            <rFont val="Tahoma"/>
            <family val="2"/>
          </rPr>
          <t xml:space="preserve">
These are cumulative goals starting from 2006</t>
        </r>
      </text>
    </comment>
  </commentList>
</comments>
</file>

<file path=xl/comments2.xml><?xml version="1.0" encoding="utf-8"?>
<comments xmlns="http://schemas.openxmlformats.org/spreadsheetml/2006/main">
  <authors>
    <author>Jeorge Tagnipes</author>
  </authors>
  <commentList>
    <comment ref="C3" authorId="0">
      <text>
        <r>
          <rPr>
            <b/>
            <sz val="9"/>
            <color indexed="81"/>
            <rFont val="Tahoma"/>
            <family val="2"/>
          </rPr>
          <t>OP5:</t>
        </r>
        <r>
          <rPr>
            <sz val="9"/>
            <color indexed="81"/>
            <rFont val="Tahoma"/>
            <family val="2"/>
          </rPr>
          <t xml:space="preserve">
5. Pacific Gas and Electric Company, Southern California Edison Company, San Diego Gas &amp; Electric Company, and Southern California Gas Company are authorized interim incentive rewards in the amounts of $41.5 million, $24.7 million, $10.8 million, and $5.2 million, respectively, reflecting their estimated mid-cycle performance for the 2006 and 2007 periods under the Energy Efficiency Risk Reward Incentive Mechanism.</t>
        </r>
      </text>
    </comment>
    <comment ref="D3" authorId="0">
      <text>
        <r>
          <rPr>
            <b/>
            <sz val="9"/>
            <color indexed="81"/>
            <rFont val="Tahoma"/>
            <family val="2"/>
          </rPr>
          <t>OP1:</t>
        </r>
        <r>
          <rPr>
            <sz val="9"/>
            <color indexed="81"/>
            <rFont val="Tahoma"/>
            <family val="2"/>
          </rPr>
          <t xml:space="preserve">
1. The energy efficiency Risk/Reward Incentive Mechanism awards set forth in Appendix A of this decision are hereby adopted as the second installment for calendar year 2009, covering the 2006-2008 program cycle, for Pacific Gas and Electric Company, Southern California Edison Company, San Diego Gas &amp; Electric Company, and Southern California Gas Company.</t>
        </r>
      </text>
    </comment>
  </commentList>
</comments>
</file>

<file path=xl/comments3.xml><?xml version="1.0" encoding="utf-8"?>
<comments xmlns="http://schemas.openxmlformats.org/spreadsheetml/2006/main">
  <authors>
    <author>Jeorge Tagnipes</author>
  </authors>
  <commentList>
    <comment ref="E19" authorId="0">
      <text>
        <r>
          <rPr>
            <b/>
            <sz val="9"/>
            <color indexed="81"/>
            <rFont val="Tahoma"/>
            <family val="2"/>
          </rPr>
          <t>Jeorge Tagnipes:</t>
        </r>
        <r>
          <rPr>
            <sz val="9"/>
            <color indexed="81"/>
            <rFont val="Tahoma"/>
            <family val="2"/>
          </rPr>
          <t xml:space="preserve">
Original PGE formula:  =IF(AND(M52&gt;=0.65,M52&lt;1,M58&gt;0),0.09,(IF(OR(M58=0,M52&lt;0.65),0,(IF(AND(M49&gt;=0.95,M50&gt;=0.95,M51&gt;=0.95),0.12,0.09)))))
Change to:
=IF(AND(M49&gt;0.65,M50&gt;0.65,M51&gt;0.65,M52&lt;1,M58&gt;0),0.09,(IF(OR(M58=0,M49&lt;=0.65,M50&lt;=0.65,M51&lt;=0.65),0,(IF(AND(M49&gt;=0.95,M50&gt;=0.95,M51&gt;=0.95),0.12,0.09)))))
the other utilities will have the same formula but only for those cells that have values, i.e., SCE's formula will not consider % of therm and SCG's formula will not consider % of kWh and kW.</t>
        </r>
      </text>
    </comment>
    <comment ref="F19" authorId="0">
      <text>
        <r>
          <rPr>
            <b/>
            <sz val="9"/>
            <color indexed="81"/>
            <rFont val="Tahoma"/>
            <family val="2"/>
          </rPr>
          <t>D0801042:</t>
        </r>
        <r>
          <rPr>
            <sz val="9"/>
            <color indexed="81"/>
            <rFont val="Tahoma"/>
            <family val="2"/>
          </rPr>
          <t xml:space="preserve">
“We do not restrict the true-up adjustment in the final claim, except insofar as a utility meets the MPS for the interim claim based on verified measure installations and costs, and ex ante savings assumptions, but falls within the 65 to 85% of energy saving goals as a result of the final ex post true-up of load impacts. In that circumstance, the utility will continue to earn at the 9% shared-saving rate, applied to the ex post PEB. In addition, as long as a utility continues to exceed the 65% of savings goals threshold for each individual metric on an ex post basis, it will not be required to pay back any interim incentives payments earned.  However, if ex post results indicate a utility has dropped below 65% of savings goals for any individual metric, the utility must pay back any interim payments earned, and penalties will be assessed.  
In Subsection (2) is added to Ordering Paragraph 2.e) as follows: 
“If the MPS is met utilizing ex ante assumptions for load impacts, with verified installations and costs, but the ex post EM&amp;V results take an individual metric below the 80% threshold or take the overall portfolio results to between 65% and 85% of the Commission-adopted savings goals, the utility shall continue to earn at the first tier sharing rate of 9%, applied to the ex post PEB, and shall not return any interim claims payments. If, however, ex post results take a utility below 65% of Commission goals for any individual metric, the utility shall pay back any interim payments, in addition to any applicable penalty.”</t>
        </r>
      </text>
    </comment>
    <comment ref="E20" authorId="0">
      <text>
        <r>
          <rPr>
            <b/>
            <sz val="9"/>
            <color indexed="81"/>
            <rFont val="Tahoma"/>
            <family val="2"/>
          </rPr>
          <t>Jeorge Tagnipes:</t>
        </r>
        <r>
          <rPr>
            <sz val="9"/>
            <color indexed="81"/>
            <rFont val="Tahoma"/>
            <family val="2"/>
          </rPr>
          <t xml:space="preserve">
Original PGE formula:  =IF(AND(M52&gt;0,M52&lt;0.65),"YES","NO")
Change to:
=IF(OR(M49&lt;0.65,M50&lt;0.65,M51&lt;0.65),"YES","NO")
SCE would only include kWh and kW; SCG would only include therms
</t>
        </r>
      </text>
    </comment>
    <comment ref="F20" authorId="0">
      <text>
        <r>
          <rPr>
            <b/>
            <sz val="9"/>
            <color indexed="81"/>
            <rFont val="Tahoma"/>
            <family val="2"/>
          </rPr>
          <t>D0801042</t>
        </r>
        <r>
          <rPr>
            <sz val="9"/>
            <color indexed="81"/>
            <rFont val="Tahoma"/>
            <family val="2"/>
          </rPr>
          <t>:
“We do not restrict the true-up adjustment in the final claim, except insofar as a utility meets the MPS for the interim claim based on verified measure installations and costs, and ex ante savings assumptions, but falls within the 65 to 85% of energy saving goals as a result of the final ex post true-up of load impacts. In that circumstance, the utility will continue to earn at the 9% shared-saving rate, applied to the ex post PEB. In addition, as long as a utility continues to exceed the 65% of savings goals threshold for each individual metric on an ex post basis, it will not be required to pay back any interim incentives payments earned.  However, if ex post results indicate a utility has dropped below 65% of savings goals for any individual metric, the utility must pay back any interim payments earned, and penalties will be assessed.  
In Subsection (2) is added to Ordering Paragraph 2.e) as follows: 
“If the MPS is met utilizing ex ante assumptions for load impacts, with verified installations and costs, but the ex post EM&amp;V results take an individual metric below the 80% threshold or take the overall portfolio results to between 65% and 85% of the Commission-adopted savings goals, the utility shall continue to earn at the first tier sharing rate of 9%, applied to the ex post PEB, and shall not return any interim claims payments. If, however, ex post results take a utility below 65% of Commission goals for any individual metric, the utility shall pay back any interim payments, in addition to any applicable penalty.”</t>
        </r>
      </text>
    </comment>
    <comment ref="E22" authorId="0">
      <text>
        <r>
          <rPr>
            <b/>
            <sz val="9"/>
            <color indexed="81"/>
            <rFont val="Tahoma"/>
            <family val="2"/>
          </rPr>
          <t>Jeorge Tagnipes:</t>
        </r>
        <r>
          <rPr>
            <sz val="9"/>
            <color indexed="81"/>
            <rFont val="Tahoma"/>
            <family val="2"/>
          </rPr>
          <t xml:space="preserve">
Original Formula:
=IF(M66="YES",((0.05*(M18-M44))*1000000+(0.45*(M20-M46))*1000000+(20*(M19-M45))*1000),"No Penalty")
Change to:
=IF(M66="YES",'Authorized Payments'!E4+MAX(MIN(M58,0),((0.05*(M18-M44))*1000000+(0.45*(M20-M46))*1000000+(20*(M19-M45))*1000)),"No Penalty")
</t>
        </r>
      </text>
    </comment>
    <comment ref="E31" authorId="0">
      <text>
        <r>
          <rPr>
            <b/>
            <sz val="8"/>
            <color indexed="81"/>
            <rFont val="Tahoma"/>
            <family val="2"/>
          </rPr>
          <t>Jeorge Tagnipes:</t>
        </r>
        <r>
          <rPr>
            <sz val="8"/>
            <color indexed="81"/>
            <rFont val="Tahoma"/>
            <family val="2"/>
          </rPr>
          <t xml:space="preserve">
Old Formula (PGE):
=IF(OR(M49&lt;0.8,M50&lt;0.8,M51&lt;0.8,M52&lt;0.85,M58&gt;0),0,(IF(OR(M58=0,M49&lt;=0.65,M50&lt;=0.65,M51&lt;=0.65),0,(IF(AND(M49&gt;=0.95,M50&gt;=0.95,M51&gt;=0.95),0.12,0.09)))))
New Formula (PGE):
=IF(AND(AND(M49&gt;0.65,M50&gt;0.65,M51&gt;0.65),(OR(M49&lt;=0.8,M50&lt;=0.8,M51&lt;=0.8,M52&lt;=0.85))),0,(IF(AND(M49&gt;0.8,M50&gt;0.8,M51&gt;0.8,M52&gt;0.85,M52&lt;=1),0.09,(IF(AND(M49&gt;1,M50&gt;1,M51&gt;1,M52&gt;1),0.12,0)))))
SCE, SDGE, and SCG changes are similar, except SCE removes the therm portion of the formula and SCG removes the kWh and kW portions</t>
        </r>
      </text>
    </comment>
  </commentList>
</comments>
</file>

<file path=xl/sharedStrings.xml><?xml version="1.0" encoding="utf-8"?>
<sst xmlns="http://schemas.openxmlformats.org/spreadsheetml/2006/main" count="1074" uniqueCount="336">
  <si>
    <t>If evaluated savings are not available for a program ID (either because it was not submitted in the evaluation, or the evaluation has not been completed), filed savings were adjusted based on realization rates reported in the evaluation results.  See cita</t>
  </si>
  <si>
    <t>1240-04</t>
  </si>
  <si>
    <t>Standard Performance Contract - SCEPGC</t>
  </si>
  <si>
    <t>PG&amp;E</t>
  </si>
  <si>
    <t>Total Cumulative Savings (GWH/yr)</t>
  </si>
  <si>
    <t>Total Peak Savings (MW)</t>
  </si>
  <si>
    <t>Total Cumulative Natural Gas Savings (MMTh/yr)</t>
  </si>
  <si>
    <t>SCE</t>
  </si>
  <si>
    <t>SDG&amp;E</t>
  </si>
  <si>
    <t>SoCalGas</t>
  </si>
  <si>
    <t>First Earnings Claim (PY2006-2007)</t>
  </si>
  <si>
    <t>Second Earnings Claim (PY2008)</t>
  </si>
  <si>
    <t>SDGE</t>
  </si>
  <si>
    <t>Total</t>
  </si>
  <si>
    <t>Savings Goals</t>
  </si>
  <si>
    <t>PY 2004-2007</t>
  </si>
  <si>
    <t>PY 2004-2008</t>
  </si>
  <si>
    <t>Total Cumulative Savings (GWH)</t>
  </si>
  <si>
    <t>Total Cumulative Natural Gas Savings (MMTh)</t>
  </si>
  <si>
    <t>MPS Goals (80% of goal)</t>
  </si>
  <si>
    <t>Dead Band (65% of goal)</t>
  </si>
  <si>
    <t>Achieved Savings Towards MPS</t>
  </si>
  <si>
    <t>EE Portfolio Savings (adjusted ex-ante)</t>
  </si>
  <si>
    <t>PY 2006-2007</t>
  </si>
  <si>
    <t>PY 2006-2008</t>
  </si>
  <si>
    <t>50% C&amp;S Savings (adjusted ex-ante)</t>
  </si>
  <si>
    <t>04-05 EM&amp;V Adjusted EE Portfolio Savings</t>
  </si>
  <si>
    <t>PY 2004-2005</t>
  </si>
  <si>
    <t>EM&amp;V Adjusted LIEE Savings</t>
  </si>
  <si>
    <t>Total Savings</t>
  </si>
  <si>
    <t xml:space="preserve">MPS Individual Metric Performance </t>
  </si>
  <si>
    <t>Percent of GWH Goal</t>
  </si>
  <si>
    <t>Percent of MW Goal</t>
  </si>
  <si>
    <t>Percent of MMTh Goal</t>
  </si>
  <si>
    <t xml:space="preserve">MPS Average Metric Performance </t>
  </si>
  <si>
    <t>PEB</t>
  </si>
  <si>
    <t>TRC Net Benefits</t>
  </si>
  <si>
    <t>PAC Net Benefits</t>
  </si>
  <si>
    <t xml:space="preserve">PEB at MPS Threshold </t>
  </si>
  <si>
    <t>Earnings/Penalty Cap</t>
  </si>
  <si>
    <t>Earnings Rate</t>
  </si>
  <si>
    <t>Total Earnings</t>
  </si>
  <si>
    <t>Penalties</t>
  </si>
  <si>
    <t>Total Penalties</t>
  </si>
  <si>
    <t>Table 3. Interim Adjusted and Claimed Electricity Savings, GWh</t>
  </si>
  <si>
    <t>Year</t>
  </si>
  <si>
    <t>Utility</t>
  </si>
  <si>
    <t>Title 20</t>
  </si>
  <si>
    <t>Title 24</t>
  </si>
  <si>
    <t>Claimed</t>
  </si>
  <si>
    <t>Adjusted</t>
  </si>
  <si>
    <t>% of Claimed</t>
  </si>
  <si>
    <t>SCG</t>
  </si>
  <si>
    <t>NA</t>
  </si>
  <si>
    <t>Table 4. Interim Adjusted and Claimed Demand Savings, MW</t>
  </si>
  <si>
    <t>Table 5. Interim Adjusted and Claimed Natural Gas Savings, Mtherms</t>
  </si>
  <si>
    <t xml:space="preserve">Energy Savings from LIEE Program </t>
  </si>
  <si>
    <t>kWh</t>
  </si>
  <si>
    <t>kW</t>
  </si>
  <si>
    <t>Therms</t>
  </si>
  <si>
    <t>GWh</t>
  </si>
  <si>
    <t>MW</t>
  </si>
  <si>
    <t>MMTherms</t>
  </si>
  <si>
    <t>N/A</t>
  </si>
  <si>
    <t>kW Ratios</t>
  </si>
  <si>
    <t>Table E3: PY2005 Total Program Savings*</t>
  </si>
  <si>
    <t xml:space="preserve">*From "Impact Evaluation of the 2005 California Low Income Energy Efficiency Program" available at http://www.liob.org/docs/LIEEPY05FinalReport1-10-08.pdf </t>
  </si>
  <si>
    <t>IOU 2005 Claimed</t>
  </si>
  <si>
    <t>% Change 2005 Claimed to Evaluated</t>
  </si>
  <si>
    <t xml:space="preserve">Evaluated where available, filed when not available* (If the evaluation is not complete, filed savings are used, if a program evaluation has been completed but there is a missing table for a program ID, the filed savings are included.) </t>
  </si>
  <si>
    <t>(cummulative)</t>
  </si>
  <si>
    <t>GWh-Annual</t>
  </si>
  <si>
    <t>MMTherm - Annual</t>
  </si>
  <si>
    <t>Total Cumulative Savings (GWH/yr) Goal</t>
  </si>
  <si>
    <t>Total Peak Savings (MW) Goal</t>
  </si>
  <si>
    <t>Total Cumulative Natural Gas Savings (MMTh/yr) Goal</t>
  </si>
  <si>
    <t>% GWh Goal Achieved</t>
  </si>
  <si>
    <t>% MW Goal Achieved</t>
  </si>
  <si>
    <t>% MMTherm Goal Achieved</t>
  </si>
  <si>
    <t>MMTherm</t>
  </si>
  <si>
    <t>Cumulative Savings (GWH/yr) Goal</t>
  </si>
  <si>
    <t>PGC</t>
  </si>
  <si>
    <t>Proc</t>
  </si>
  <si>
    <t xml:space="preserve">Program ID's for which filed savings, adjusted by evaluation realization rates, are used because an unique impact table was not submitted. </t>
  </si>
  <si>
    <t>1176-04</t>
  </si>
  <si>
    <t>SW-MF Rebate</t>
  </si>
  <si>
    <t>1509-04</t>
  </si>
  <si>
    <t>1169-04</t>
  </si>
  <si>
    <t>SW-CAEnergySTAR Homes</t>
  </si>
  <si>
    <t>1325-04</t>
  </si>
  <si>
    <t>Bakersfield Kern Partnership - SCE</t>
  </si>
  <si>
    <t>1230-04</t>
  </si>
  <si>
    <t>Bakersfield Kern Partnership - SCG</t>
  </si>
  <si>
    <t>1520-04</t>
  </si>
  <si>
    <t>Small Business Energy Efficiency</t>
  </si>
  <si>
    <t>1377-04</t>
  </si>
  <si>
    <t>Single-Family EE Rebates - SDGEProc</t>
  </si>
  <si>
    <t>1160-04</t>
  </si>
  <si>
    <t>Single-Family EE Rebates - SCEProc</t>
  </si>
  <si>
    <t>1505-04</t>
  </si>
  <si>
    <t>Residential EE</t>
  </si>
  <si>
    <t>1453-04</t>
  </si>
  <si>
    <t>Small Nonresidential Hard to Reach Program</t>
  </si>
  <si>
    <t>2005*</t>
  </si>
  <si>
    <t xml:space="preserve">*Program ID's for which evaluation savings from 04-05 funded activities extended beyond 2005; total annualized savings  for the program are included. </t>
  </si>
  <si>
    <t>Year program achieved total annualized savings</t>
  </si>
  <si>
    <t>1066-04</t>
  </si>
  <si>
    <t>H&amp;L Energy Savers - Performance4</t>
  </si>
  <si>
    <t>1085-04</t>
  </si>
  <si>
    <t>Small Business Energy Alliance</t>
  </si>
  <si>
    <t>1086-04</t>
  </si>
  <si>
    <t>1487-04</t>
  </si>
  <si>
    <t>ADM Mobile Energy Clinic</t>
  </si>
  <si>
    <t>1285-04</t>
  </si>
  <si>
    <t>B.E.S.T - SDREO</t>
  </si>
  <si>
    <t>1301-04</t>
  </si>
  <si>
    <t>San Diego Region Local Government Energy Efficiency Program</t>
  </si>
  <si>
    <t>1311-04</t>
  </si>
  <si>
    <t>Residential Duct Services</t>
  </si>
  <si>
    <t>1327-04</t>
  </si>
  <si>
    <t>1381-04</t>
  </si>
  <si>
    <t>Retrocommissioning Program</t>
  </si>
  <si>
    <t>1500-04</t>
  </si>
  <si>
    <t>Rebuild a Greener San Diego</t>
  </si>
  <si>
    <t>1383-04</t>
  </si>
  <si>
    <t>San Diego City Schools Retrofit Partnership</t>
  </si>
  <si>
    <t>1320-04</t>
  </si>
  <si>
    <t>Local Nonresidential Customer Energy Savings Bid</t>
  </si>
  <si>
    <t>1121-04</t>
  </si>
  <si>
    <t>Standard Performance Contract - PGE</t>
  </si>
  <si>
    <t>1347-04</t>
  </si>
  <si>
    <t>Standard Performance Contract - SDGE</t>
  </si>
  <si>
    <t>Energy Efficiency RRM VRT &amp; Adjustment Summary 2006-2008</t>
  </si>
  <si>
    <t>PG&amp;E Adjustment</t>
  </si>
  <si>
    <t>PG&amp;E Total</t>
  </si>
  <si>
    <t>SCE Adjustment</t>
  </si>
  <si>
    <t>SCE Total</t>
  </si>
  <si>
    <t>SDGE Adjustment</t>
  </si>
  <si>
    <t>SDGE Total</t>
  </si>
  <si>
    <t>SoCalGas Adjustment</t>
  </si>
  <si>
    <t>SoCalGas Total</t>
  </si>
  <si>
    <t>Notes:</t>
  </si>
  <si>
    <t>2. Adjustments are summed from the adjustment sheets</t>
  </si>
  <si>
    <t>PG&amp;E Energy Efficiency RRM Adjustments Detail 2006-2008</t>
  </si>
  <si>
    <t>Adjustment Description</t>
  </si>
  <si>
    <t>Total Savings (GWH)</t>
  </si>
  <si>
    <t>Total Savings (MW)</t>
  </si>
  <si>
    <t>Total Savings (MMTh)</t>
  </si>
  <si>
    <t>SCE Energy Efficiency RRM Adjustments Detail 2006-2008</t>
  </si>
  <si>
    <t>SDGE Energy Efficiency RRM Adjustments Detail 2006-2008</t>
  </si>
  <si>
    <t>SoCalGas Energy Efficiency RRM Adjustments Detail 2006-2008</t>
  </si>
  <si>
    <t>Index</t>
  </si>
  <si>
    <t>Date</t>
  </si>
  <si>
    <t>Filename</t>
  </si>
  <si>
    <t>Tab</t>
  </si>
  <si>
    <t>Change Description</t>
  </si>
  <si>
    <t>Editor</t>
  </si>
  <si>
    <t>04-07 LIEE Tables'!A1</t>
  </si>
  <si>
    <t>Jeorge</t>
  </si>
  <si>
    <t>Added 2008 LIEE reported savings to cells H10:J10, H16:J16 , H22:J22, H28:J28</t>
  </si>
  <si>
    <t>(2004, 2006, 2007 and 2008 Data based on IOUs' Annual Reports)</t>
  </si>
  <si>
    <t>RRM Calculator'!A1</t>
  </si>
  <si>
    <t>Changed formula in cells C39:F41 to sum up to include rows 10 for PGE, rows 16 for SCE, row 22 for SDGE and row 28 for SCG</t>
  </si>
  <si>
    <t>  Period</t>
  </si>
  <si>
    <t>Electricity (GWh)</t>
  </si>
  <si>
    <t>Demand (MW)</t>
  </si>
  <si>
    <t>Natural Gas (MTherms)</t>
  </si>
  <si>
    <t>Verified</t>
  </si>
  <si>
    <t>RRMCalculator_Template_v6.xls</t>
  </si>
  <si>
    <t>RRMCalculator_Template_v5.xls</t>
  </si>
  <si>
    <t>C&amp;S_2006-8'!A1</t>
  </si>
  <si>
    <t xml:space="preserve">Added new table from Final Codes and Standards evaluation numbers.  </t>
  </si>
  <si>
    <t>Changed reference in cells M29:P31 to point to values in C&amp;S_2006-8" tab</t>
  </si>
  <si>
    <t>Made cells M34:P36 equal to the values in cells H34:K36</t>
  </si>
  <si>
    <t>Made cells M39:P41 equal to the values in cells H39:K41</t>
  </si>
  <si>
    <t>Made cells M64:P64 equal to the values in cells H64:K64</t>
  </si>
  <si>
    <t xml:space="preserve">Entered formula in cells M68:P68 to reflect penalty language OP 1 (f) from D.07-09-043:  f) Penalties shall begin to accrue if portfolio performance for any single savings metric (GWh, MW or MTherm) falls to or below 65% of the savings goal for that metric. If this occurs, the larger of the following penalty provisions apply up to the penalty cap adopted for each utility: (1) 5¢/kWh, 45¢/therm and $25/kW per unit penalties applied to each unit below the savings goal, or (if larger):
</t>
  </si>
  <si>
    <t>PG&amp;E ERT</t>
  </si>
  <si>
    <t>SCE ERT</t>
  </si>
  <si>
    <t>SDGE ERT</t>
  </si>
  <si>
    <t>SoCalGas ERT</t>
  </si>
  <si>
    <t>1. ERT values are populated by the ERT application</t>
  </si>
  <si>
    <t>Changed VRT Summary tab to ERT Summary. Changed text on ERT Summary tab from VRT to ERT</t>
  </si>
  <si>
    <t>Wayne</t>
  </si>
  <si>
    <t>Referenced cells M24:M26 to 'ERT Summary'!$E$9:'ERT Summary'!$E$11; N24:N26 to 'ERT Summary'!$H$9:'ERT Summary'!$H$10; O24:O26 to 'ERT Summary'!$K$9: 'ERT Summary'!$K$11; P24:P26 to 'ERT Summary'!$N$11; M55:M56 to ='ERT Summary'!$E$14:='ERT Summary'!$E$15; N55:N56 to ='ERT Summary'!$H$14:='ERT Summary'!$H$15; O55:O56 to ='ERT Summary'!$K$14:='ERT Summary'!$K$15' P55:P56 to ='ERT Summary'!$N$14:='ERT Summary'!$N$15</t>
  </si>
  <si>
    <t>RRMCalculator_Template_v6.1.xls</t>
  </si>
  <si>
    <t>*Note that claimed savings are based on 50% of amounts in the SES and verified savings are also 50% of the ex post evaluated quantity.</t>
  </si>
  <si>
    <t>Savings Goals D.04-09-060'!A1</t>
  </si>
  <si>
    <t>Added kWh and kW adjustment for SDGE from Carmen Best in cells F21:F22.  The goals in "RRM Calculator" tab, cells O8:O9 include these adjustments in the goals.</t>
  </si>
  <si>
    <t>Modified the formulas in cells M64:P64 to remove the 65% holdback.</t>
  </si>
  <si>
    <t>Modified penalty identifier in cells M66:P66 to remove statement that says if net benefits is less than zero the IOU is in the penalty.</t>
  </si>
  <si>
    <t>RRMCalculator_Template_v6.2.xls</t>
  </si>
  <si>
    <t>Added tab that shows the total amounts authorized by the Commission in D.08-12-059 and D.09-12-045</t>
  </si>
  <si>
    <t>D.08-12-059</t>
  </si>
  <si>
    <t>D.09-12-045</t>
  </si>
  <si>
    <t>PGE</t>
  </si>
  <si>
    <t xml:space="preserve">Authorized 1st and 2nd Interim Payments </t>
  </si>
  <si>
    <t>From 1st Verification Report</t>
  </si>
  <si>
    <t>Authorized in D.08-12-059</t>
  </si>
  <si>
    <t>[A]</t>
  </si>
  <si>
    <t>Max Earnings (PEB * Earnings Rate) [B]</t>
  </si>
  <si>
    <t>Max Earnings less 35% holdback [C]</t>
  </si>
  <si>
    <t>2nd Installment of Interim Earnings</t>
  </si>
  <si>
    <t>[C] -[A]</t>
  </si>
  <si>
    <t>Holdback Amount Subject to Final</t>
  </si>
  <si>
    <t>True-up</t>
  </si>
  <si>
    <t>[B] - [C]</t>
  </si>
  <si>
    <t>-</t>
  </si>
  <si>
    <t>Appendix A of D.09-12-045</t>
  </si>
  <si>
    <t>TOTAL</t>
  </si>
  <si>
    <t>Authorized Payments'!A1</t>
  </si>
  <si>
    <t>--&gt;  cells E4:H4 are used for the penalty formula in the RRM tab.  Do not change</t>
  </si>
  <si>
    <t>Modified PEB at MPS threshold in cells M58:P58 to return the PEB value only if each individual metric (kWh, kW, therms) is above 65%,(rather than greater than or equal to) otherwise this will be zero.  Also removed the requirement that the average MPS be greater than 65%.</t>
  </si>
  <si>
    <t xml:space="preserve">Modified earnings rate formula in cells M62:P62 in response to D.08-10-042, to make earnings rate at 9% if each individual metric (kWh, kW, therms) is above 65%, and 0% if any metric (kWh, kW, therms) is less than or equal to 65%
</t>
  </si>
  <si>
    <t>Updated values with latest numbers from Ayat Osman on 4-29-10</t>
  </si>
  <si>
    <t>Modified penalty identifier in cells M66:P66 require ANY individual metric (kWh, kW, therms) to be &lt;0.65 to trigger a "Yes" response.  The old formula used the average MPS, not the individual metric.</t>
  </si>
  <si>
    <t>Modified penalty formula in cells M68:P68 to include payback of the paid amounts from "Authorized Payments" tab + the maximum of PEB at MPS Threshold (if negative)  or the current formula</t>
  </si>
  <si>
    <t>RRMCalculator_Template#7_v6.2.xls</t>
  </si>
  <si>
    <t>For scenario analyis only, doubled the C&amp;S savings in M29:P39 to award utilities 100% savings instead of 50%</t>
  </si>
  <si>
    <t>Per ALJ Pulsifer's request, removed 2004-2005 savings and goals from this Scenario.  Deleted values in cells M34:P36 to remove 2004-2005 savings.</t>
  </si>
  <si>
    <t>Per ALJ Pulsifer's request, removed 2004-2005 savings and goals from this Scenario.  Changed cumulative 2008 goals in column F so column C is subtracted from this amount.  This removes the 2004-2005 goals.  This impacts cells F4:F18.</t>
  </si>
  <si>
    <t>S7-T7_version2_(100%C&amp;S+Removes2004-2005).xls</t>
  </si>
  <si>
    <t>S7-T7_version4_(100%C&amp;S+Removes2004-2005+ReducePGESDGEthermGoals).xls</t>
  </si>
  <si>
    <t>Per ALJ Pulsifer's request, modifying PGE's therm goals down by 26% and SDGE's therm goal down by 22%.  Did this by multiplying the values in cell H10 by (1-.26) for PGE and by multiplying the values in cell J10 by (1-.22) for SDGE.</t>
  </si>
  <si>
    <t>S7-T7_version5_(100%C&amp;S+Removes2004-2005+ReducePGE38SDG25EthermGoals).xls</t>
  </si>
  <si>
    <t>Per ALJ Pulsifer's request, modifying PGE's therm goals down by38% and SDGE's therm goal down by 25%.  Did this by multiplying the values in cell H10 by (1-.38) for PGE and by multiplying the values in cell J10 by (1-.25) for SDGE.</t>
  </si>
  <si>
    <t>S7-T7_version6_(100%C&amp;S+Removes2004-2005+ReducePGE38SDGE25thermGoals+10%2004-2005AllUtils).xls</t>
  </si>
  <si>
    <t>Per ALJ Pulsifer's request, modified all utilities to add 10% of 2004-2005 savings back into the formula.  Did this by taking the 2004-2005 savings values from tab "04-05 EE Tables" and multiplying by .1; this impacts cells M34:P36</t>
  </si>
  <si>
    <t>10% of 2004-2005 Savings Goals</t>
  </si>
  <si>
    <t>PGE GWh</t>
  </si>
  <si>
    <t>PGE MW</t>
  </si>
  <si>
    <t>PGE MMth</t>
  </si>
  <si>
    <t>SCE GWh</t>
  </si>
  <si>
    <t>SCE MW</t>
  </si>
  <si>
    <t>SDGE GWh</t>
  </si>
  <si>
    <t>SDGE MW</t>
  </si>
  <si>
    <t>SDGE MMth</t>
  </si>
  <si>
    <t>SCG MMth</t>
  </si>
  <si>
    <t>Per ALJ Pulsifer's request, modified all utilities to add 10% of 2004-2005 goals back into the formula. Take the cumulative savings goals through 2005 in column C of tab, "Savings Goals D.04-09-060" and mutlipy by .1 for each utility for each metric to get a 10% of 2004-2005 savings number.  This number is then added to the total goals in cells M8:P10 of the RRM_Calculator tab.</t>
  </si>
  <si>
    <t>S7-T7_version6a_(100%C&amp;S+Removes2004-2005+ReducePGE38SDGE25thermGoals+10%2004-2005AllUtils).xls</t>
  </si>
  <si>
    <t>Per ALJ Pulsifer's request, corrected the earnings rate formula in cells M62:P62 so that the formula is responsive to OP4 of D.08-12-059.</t>
  </si>
  <si>
    <t>RRIMCalculator2009_Template#01.xls</t>
  </si>
  <si>
    <t>Earnings Claim (2009)</t>
  </si>
  <si>
    <t>PY 2006-2009</t>
  </si>
  <si>
    <t xml:space="preserve">Modified the 2009 cumulative savings goals to be consistent with D.09-05-037, D.08-07-047, and D.07-10-032.  The cumulative savings goals that are in effect for 2009 also originated in D.04-09-060.  The start year in that decision was 2004.  D.07-10-032 provided further clarification on the definition of cumulative savings but did not alter the values.  D.08-07-047 re-defined the goals as gross, but did not make any changes to cumulative savings values, or the start year.    D.09-05-037 redefined the start year for cumulative savings for the then 2009-2011 portfolio to be 2006 which removed the savings from 2004-2005.  The changes to annual savings noted above also affect the total cumulative savings.  The combined effect of these changes are noted in the cells G4:G18  which are the cumulative savings that are applicable for 2009.    </t>
  </si>
  <si>
    <t>CUMULATIVE</t>
  </si>
  <si>
    <t xml:space="preserve">PG&amp;E </t>
  </si>
  <si>
    <t xml:space="preserve">SCE </t>
  </si>
  <si>
    <t> -</t>
  </si>
  <si>
    <t xml:space="preserve">SDG&amp;E </t>
  </si>
  <si>
    <t xml:space="preserve">SCG </t>
  </si>
  <si>
    <t>Current (All IOUs)</t>
  </si>
  <si>
    <t>Original 2009 from D.04-09-060</t>
  </si>
  <si>
    <t>% difference</t>
  </si>
  <si>
    <t>PY 2004 - PY 2009</t>
  </si>
  <si>
    <t xml:space="preserve">2009 REPORTED LIEE SAVINGS </t>
  </si>
  <si>
    <t>Gross kW</t>
  </si>
  <si>
    <t>Gross kWh</t>
  </si>
  <si>
    <t>Gross therms</t>
  </si>
  <si>
    <t>ANNUAL REPORT OF PACIFIC GAS AND ELECTRIC COMPANY (U 39 M) ON THE RESULTS OF ITS LOW INCOME ENERGY EFFICIENCY AND CALIFORNIA ALTERNATIVE RATES FOR ENERGY PROGRAM EFFORTS FOR PROGRAM YEAR 2009 </t>
  </si>
  <si>
    <t>http://www.liob.org/docs/PG&amp;E%20Cover%20Pleading%20and%20LIEE-CARE%20Annual%20Report%205-3-10.pdf</t>
  </si>
  <si>
    <t>ANNUAL REPORT ACTIVITY OF SAN DIEGO GAS &amp; ELECTRIC COMPANY (U 902 M) ON LOW INCOME ASSISTANCE PROGRAMS FOR 2009</t>
  </si>
  <si>
    <t>http://www.liob.org/docs/SDG&amp;E%20Annual%20LIEE%20CARE%202009%20Results%205-3-10.pdf</t>
  </si>
  <si>
    <t>ANNUAL REPORT ACTIVITY OF SOUTHERN CALIFORNIA GAS COMPANY (U 904 G) ON LOW INCOME ASSISTANCE PROGRAMS FOR 2009</t>
  </si>
  <si>
    <t>http://www.liob.org/docs/SCG%20Annual%20LIEE%20CARE%202009%20Results%205-3-10.pdf</t>
  </si>
  <si>
    <t>Southern California Edison Company's (U 338-E) Annual Progress Reports for Low Income Programs for the Period January - December 2009</t>
  </si>
  <si>
    <t>http://www.liob.org/docs/SCE%20Annual%20Project%20Reports%20for%20FERA%20%20LIEE%20Pro%205-3-10.pdf</t>
  </si>
  <si>
    <t>SOURCE:</t>
  </si>
  <si>
    <t>04-09 LIEE Tables'!A1</t>
  </si>
  <si>
    <t>Added 2009 reported LIEE savings from utility Annual Reports</t>
  </si>
  <si>
    <t>PY 2006-2009 + Decay</t>
  </si>
  <si>
    <t>updated 10/20/2010</t>
  </si>
  <si>
    <t>2009**</t>
  </si>
  <si>
    <t>2006-09</t>
  </si>
  <si>
    <t xml:space="preserve">Statewide Realization Rates </t>
  </si>
  <si>
    <t>** Cadmus estimated the 2009 savings assuming 100% of savings (in other words, 2009 C&amp;S savings were not adjusted by a factor of 50%)</t>
  </si>
  <si>
    <t>C&amp;S2006-09'!A1</t>
  </si>
  <si>
    <t>PY 2006-2008 (at 50%) + 2009 (at 100%)</t>
  </si>
  <si>
    <t>Total (all IOUs) for 2006-09</t>
  </si>
  <si>
    <t>Not provided</t>
  </si>
  <si>
    <r>
      <t>The savings shown are those achieved in the IOU service areas only and</t>
    </r>
    <r>
      <rPr>
        <b/>
        <sz val="12"/>
        <color indexed="10"/>
        <rFont val="Arial"/>
        <family val="2"/>
      </rPr>
      <t xml:space="preserve"> adjusted by the 50% factor </t>
    </r>
    <r>
      <rPr>
        <b/>
        <sz val="12"/>
        <rFont val="Arial"/>
        <family val="2"/>
      </rPr>
      <t xml:space="preserve">required by the CPUC during the 2006-2008 cycle.  </t>
    </r>
    <r>
      <rPr>
        <b/>
        <sz val="12"/>
        <color indexed="10"/>
        <rFont val="Arial"/>
        <family val="2"/>
      </rPr>
      <t>The 2009 savings HAVE NOT been adjusted by 50%</t>
    </r>
    <r>
      <rPr>
        <b/>
        <sz val="12"/>
        <rFont val="Arial"/>
        <family val="2"/>
      </rPr>
      <t xml:space="preserve">. </t>
    </r>
  </si>
  <si>
    <t>Updated C&amp;S table based on a Cadmus review of the HMG spreadsheet the utilities used to estimate 2009 C&amp;S savings, which includes four Title 20 standards for 2009. These four standards are not adjusted by 50% (i.e., they receive 100% of the estimated credit), but all other standards continue to be adjusted by 50% as they were in the 2006-08 evaluation</t>
  </si>
  <si>
    <t>Modify M24:P26 so 2006-2008 savings + 50% decay calculated by Carmen Best are added to 2009 savings numbers generated from ERT.</t>
  </si>
  <si>
    <t>Temporary spot for 2006-2008 savings with Decay</t>
  </si>
  <si>
    <t>RRIMCalculator2009_Template#02.xls</t>
  </si>
  <si>
    <t>Modified the formula to use 7% for the earnings rate in row 62, per D.10-12-049, FOF 19, COL 2, and OP</t>
  </si>
  <si>
    <t>Modified cellsS24:V26 so the updated 2006-2008 savings + 50% decay number (updated with fixed SCE numbers and other issues identified in meetings with utililties) as calculated by Carmen Best's spreadsheet are used.</t>
  </si>
  <si>
    <t>Modified cellsS24:V26 so the updated 2006-2008 savings + 50% decay number (updated with fixed SCE numbers and other issues identified in meetings with utililties) as calculated by Carmen Best's spreadsheet are used.  But updated Carmen Best's spreadsheet to not divide the decay portion of the formula by 1,000,000 for kWh, 1,000 for kW, and 1,000,000,000 for therms since these adjustments were already made in the decay calculation in rows 3:6</t>
  </si>
  <si>
    <t>RRIMCalculator2009_Template#03.xls</t>
  </si>
  <si>
    <t>Modified cellsS24:V26 so the updated 2006-2008 savings + 50% decay number (updated with fixed SCE numbers and other issues identified in meetings with utililties) as calculated by Carmen Best's spreadsheet are used, file "Section 7. LifecycleTable_04_2009_final_irate689_SCEupdate_cbe_v.04.xlsx"</t>
  </si>
  <si>
    <t>Changed the earnings rate formula in row 62 for PGE from "=IF(AND(AND(M49&gt;0.65,M50&gt;0.65,M51&gt;0.65),(OR(M49&lt;=0.8,M50&lt;=0.8,M51&lt;=0.8,M52&lt;=0.85))),0,(IF(AND(M49&gt;0.8,M50&gt;0.8,M51&gt;0.8,M52&gt;0.85,M52&lt;=1),0.07,(IF(AND(M49&gt;1,M50&gt;1,M51&gt;1,M52&gt;1),0.07,0)))))" to "=IF(AND(AND(M49&gt;0.65,M50&gt;0.65,M51&gt;0.65),(OR(M49&lt;=0.8,M50&lt;=0.8,M51&lt;=0.8,M52&lt;=0.85))),0,(IF(AND(M49&gt;0.8,M50&gt;0.8,M51&gt;0.8,M52&gt;0.85),0.07,0)))" for SCE from "=IF(AND(AND(N49&gt;0.65,N50&gt;0.65),(OR(N49&lt;=0.8,N50&lt;=0.8,N52&lt;=0.85))),0,(IF(AND(N49&gt;0.8,N50&gt;0.8,N52&gt;0.85,N52&lt;=1),0.07,(IF(AND(N49&gt;1,N50&gt;1,N52&gt;1),0.07,0)))))" to " =IF(AND(AND(N49&gt;0.65,N50&gt;0.65),(OR(N49&lt;=0.8,N50&lt;=0.8,N52&lt;=0.85))),0,(IF(AND(N49&gt;0.8,N50&gt;0.8,N52&gt;0.85),0.07,0)))" for SDGE from "=IF(AND(AND(O49&gt;0.65,O50&gt;0.65,O51&gt;0.65),(OR(O49&lt;=0.8,O50&lt;=0.8,O51&lt;=0.8,O52&lt;=0.85))),0,(IF(AND(O49&gt;0.8,O50&gt;0.8,O51&gt;0.8,O52&gt;0.85,O52&lt;=1),0.07,(IF(AND(O49&gt;1,O50&gt;1,O51&gt;1,O52&gt;1),0.07,0)))))" to " =IF(AND(AND(O49&gt;0.65,O50&gt;0.65,O51&gt;0.65),(OR(O49&lt;=0.8,O50&lt;=0.8,O51&lt;=0.8,O52&lt;=0.85))),0,(IF(AND(O49&gt;0.8,O50&gt;0.8,O51&gt;0.8,O52&gt;0.85),0.07,0))) " and for SCG from " =IF(AND(AND(P51&gt;0.65),(OR(P51&lt;=0.8,P52&lt;=0.85))),0,(IF(AND(P51&gt;0.8,P52&gt;0.85,P52&lt;=1),0.07,(IF(AND(P51&gt;1,P52&gt;1),0.07,0))))) " to " =IF(AND(AND(P51&gt;0.65),(OR(P51&lt;=0.8,P52&lt;=0.85))),0,(IF(AND(P51&gt;0.8,P52&gt;0.85),0.07,0))) "</t>
  </si>
  <si>
    <t>2006-2008 EVALUATED(utility NTG)</t>
  </si>
  <si>
    <t xml:space="preserve">2006-2008 PASS THRU </t>
  </si>
  <si>
    <t>SUBTOTAL 2006-2008</t>
  </si>
  <si>
    <t>2009 EVLUATED GROSS (NTG=1.0)</t>
  </si>
  <si>
    <t>2009  PASS THRU (NET)</t>
  </si>
  <si>
    <t>SUBTOTAL 2009</t>
  </si>
  <si>
    <t xml:space="preserve">TOTAL </t>
  </si>
  <si>
    <t xml:space="preserve">KWH </t>
  </si>
  <si>
    <t>KW</t>
  </si>
  <si>
    <t>THERMS</t>
  </si>
  <si>
    <t xml:space="preserve">SOURCE: </t>
  </si>
  <si>
    <t>CFL (2006-2008)  IN 2009 GROSS</t>
  </si>
  <si>
    <t>MPS</t>
  </si>
  <si>
    <t>TRC</t>
  </si>
  <si>
    <t xml:space="preserve">PAC </t>
  </si>
  <si>
    <t xml:space="preserve">2009 Evaluated Programs with Irate Scenario </t>
  </si>
  <si>
    <t>2009 Pass thru Programs</t>
  </si>
  <si>
    <t>UC CSU Adjustment</t>
  </si>
  <si>
    <t>ED Training Adjustment</t>
  </si>
  <si>
    <t xml:space="preserve">C&amp;S </t>
  </si>
  <si>
    <t xml:space="preserve">2006 2008 CFL Carryover Benefits (Electric and Gas) </t>
  </si>
  <si>
    <t>SDGE RESULTS_V5.xlsx</t>
  </si>
  <si>
    <t>SDG&amp;E 09-11 4g3(Codes and Standards only)_v2.xls</t>
  </si>
  <si>
    <t>SCG_2006_2008_INPUT_EVALUATED_TOTALS.XLSX</t>
  </si>
  <si>
    <t>SCG_2008_2008_INPUT_PASSTHRU_TOTALS.XLX</t>
  </si>
  <si>
    <t>SCG_2009_INPUTS_TOTAL.XLS</t>
  </si>
  <si>
    <t>SCG_2009_PASSTHRU_TOTALS.XLS</t>
  </si>
  <si>
    <t>SCG_RUN_RESULTS_v3.xlsx</t>
  </si>
  <si>
    <t>UC_CSU_ED TRINING_ADJ_V1.XLS</t>
  </si>
  <si>
    <t>Summary of Table of 3016 for ADD CFLs</t>
  </si>
  <si>
    <t>SDGE_3016_cfls.xls</t>
  </si>
  <si>
    <t>Energy Efficiency RRM Table 2009</t>
  </si>
  <si>
    <t>SDGE_EVALUATED_TOTAL_WITH 50% DECAY RATE_V3.xls</t>
  </si>
  <si>
    <t>SDGE_INPUT_SHEETS_PASS THRU_TOTALS_V4.XLS</t>
  </si>
  <si>
    <t>SDGE Evaluation Up_v3.xlsx</t>
  </si>
  <si>
    <t>\2009_EARNINGS_FILING_SDGE\SDGE\2009 MPS\1_2006-2008 CUMLATIVE WITH 50% DECAY (EXANTE NET WITH EDIRATE)\SDGE 2006-2008 DATA</t>
  </si>
  <si>
    <t>\2009_EARNINGS_FILING_SDGE\SDGE\2009 EARNINGS(PEB)\1_BASE RUN FOR 2009_EARNINGS\2_EVALUATION UP</t>
  </si>
  <si>
    <t>\2009_EARNINGS_FILING_SDGE\SDGE\2009 EARNINGS(PEB)\1_BASE RUN FOR 2009_EARNINGS\4_EE_RESULTS</t>
  </si>
  <si>
    <t>\2009_EARNINGS_FILING_SDGE\SDGE\2009 EARNINGS(PEB)\2_BASE RUN ADJUSTED FOR ADDITIONAL CFLs\3_ERT RUN FOR THE ADDTIONAL CFLs\3_CFL ADDITIONS MPS SAVINGS</t>
  </si>
  <si>
    <t>\2009_EARNINGS_FILING_SDGE\SDGE\2009 EARNINGS(PEB)\2_BASE RUN ADJUSTED FOR ADDITIONAL CFLs\3_ERT RUN FOR THE ADDTIONAL CFLs\2_ERT RUN</t>
  </si>
  <si>
    <t>\2009_EARNINGS_FILING_SDGE\SDGE\2009 EARNINGS(PEB)\3_BASE RUN FOR RUNNING CODES AND STANDARDS\SDGE C&amp;S E3 run</t>
  </si>
  <si>
    <t>\2009_EARNINGS_FILING_SCG\SCG\2009 MPS</t>
  </si>
  <si>
    <t>\2009_EARNINGS_FILING_SCG\SCG\2009 EARNINGS(PEB)\SCG 2009 ERT(IRATE)\RUN RESULTS</t>
  </si>
  <si>
    <t>\2009_EARNINGS_FILING_SCG\SCG\2009 EARNINGS(PEB)\SCG 2009 ADJUSTMENTS</t>
  </si>
  <si>
    <t xml:space="preserve">FOLDER PATH </t>
  </si>
</sst>
</file>

<file path=xl/styles.xml><?xml version="1.0" encoding="utf-8"?>
<styleSheet xmlns="http://schemas.openxmlformats.org/spreadsheetml/2006/main">
  <numFmts count="13">
    <numFmt numFmtId="6" formatCode="&quot;$&quot;#,##0_);[Red]\(&quot;$&quot;#,##0\)"/>
    <numFmt numFmtId="42" formatCode="_(&quot;$&quot;* #,##0_);_(&quot;$&quot;* \(#,##0\);_(&quot;$&quot;* &quot;-&quot;_);_(@_)"/>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quot;$&quot;#,##0"/>
    <numFmt numFmtId="167" formatCode="0.0000"/>
    <numFmt numFmtId="168" formatCode="#,##0.0"/>
    <numFmt numFmtId="169" formatCode="_(* #,##0.0_);_(* \(#,##0.0\);_(* &quot;-&quot;??_);_(@_)"/>
    <numFmt numFmtId="170" formatCode="#,##0.000000"/>
    <numFmt numFmtId="171" formatCode="0.00000"/>
    <numFmt numFmtId="172" formatCode="0.0"/>
  </numFmts>
  <fonts count="74">
    <font>
      <sz val="10"/>
      <name val="Arial"/>
    </font>
    <font>
      <sz val="10"/>
      <name val="Arial"/>
      <family val="2"/>
    </font>
    <font>
      <sz val="10"/>
      <name val="Times New Roman"/>
      <family val="1"/>
    </font>
    <font>
      <sz val="9"/>
      <name val="Times New Roman"/>
      <family val="1"/>
    </font>
    <font>
      <sz val="7"/>
      <name val="Small Fonts"/>
      <family val="2"/>
    </font>
    <font>
      <sz val="10"/>
      <name val="Geneva"/>
    </font>
    <font>
      <sz val="8"/>
      <name val="Arial"/>
      <family val="2"/>
    </font>
    <font>
      <sz val="10"/>
      <name val="MS Sans Serif"/>
      <family val="2"/>
    </font>
    <font>
      <sz val="10"/>
      <name val="Arial"/>
      <family val="2"/>
    </font>
    <font>
      <b/>
      <sz val="12"/>
      <name val="Arial"/>
      <family val="2"/>
    </font>
    <font>
      <sz val="10"/>
      <color indexed="8"/>
      <name val="Arial"/>
      <family val="2"/>
    </font>
    <font>
      <b/>
      <sz val="12"/>
      <color indexed="23"/>
      <name val="Arial"/>
      <family val="2"/>
    </font>
    <font>
      <b/>
      <sz val="10"/>
      <name val="Arial"/>
      <family val="2"/>
    </font>
    <font>
      <b/>
      <sz val="10"/>
      <color indexed="8"/>
      <name val="Arial"/>
      <family val="2"/>
    </font>
    <font>
      <sz val="10"/>
      <color indexed="48"/>
      <name val="Arial"/>
      <family val="2"/>
    </font>
    <font>
      <sz val="1"/>
      <color indexed="9"/>
      <name val="Arial"/>
      <family val="2"/>
    </font>
    <font>
      <b/>
      <sz val="10"/>
      <color indexed="12"/>
      <name val="Arial"/>
      <family val="2"/>
    </font>
    <font>
      <b/>
      <sz val="12"/>
      <color indexed="17"/>
      <name val="Arial"/>
      <family val="2"/>
    </font>
    <font>
      <b/>
      <sz val="10"/>
      <color indexed="17"/>
      <name val="Arial"/>
      <family val="2"/>
    </font>
    <font>
      <sz val="10"/>
      <color indexed="12"/>
      <name val="Arial"/>
      <family val="2"/>
    </font>
    <font>
      <b/>
      <sz val="10"/>
      <name val="Times New Roman"/>
      <family val="1"/>
    </font>
    <font>
      <b/>
      <sz val="12"/>
      <name val="Times New Roman"/>
      <family val="1"/>
    </font>
    <font>
      <sz val="10"/>
      <name val="Times New Roman"/>
      <family val="1"/>
    </font>
    <font>
      <u/>
      <sz val="10"/>
      <color indexed="12"/>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2"/>
      <name val="Calibri"/>
      <family val="2"/>
    </font>
    <font>
      <sz val="10"/>
      <color indexed="10"/>
      <name val="Arial"/>
      <family val="2"/>
    </font>
    <font>
      <b/>
      <sz val="12"/>
      <color indexed="10"/>
      <name val="Arial"/>
      <family val="2"/>
    </font>
    <font>
      <sz val="12"/>
      <name val="Arial"/>
      <family val="2"/>
    </font>
    <font>
      <b/>
      <sz val="10"/>
      <name val="Calibri"/>
      <family val="2"/>
    </font>
    <font>
      <sz val="10"/>
      <name val="Calibri"/>
      <family val="2"/>
    </font>
    <font>
      <b/>
      <sz val="10"/>
      <color indexed="63"/>
      <name val="Calibri"/>
      <family val="2"/>
    </font>
    <font>
      <b/>
      <sz val="10"/>
      <color indexed="8"/>
      <name val="Calibri"/>
      <family val="2"/>
    </font>
    <font>
      <sz val="10"/>
      <color indexed="8"/>
      <name val="Calibri"/>
      <family val="2"/>
    </font>
    <font>
      <b/>
      <i/>
      <sz val="14"/>
      <color indexed="10"/>
      <name val="Arial"/>
      <family val="2"/>
    </font>
    <font>
      <i/>
      <sz val="10"/>
      <name val="Arial"/>
      <family val="2"/>
    </font>
    <font>
      <u/>
      <sz val="10"/>
      <color indexed="12"/>
      <name val="Arial"/>
      <family val="2"/>
    </font>
    <font>
      <sz val="9"/>
      <color indexed="81"/>
      <name val="Tahoma"/>
      <family val="2"/>
    </font>
    <font>
      <b/>
      <sz val="9"/>
      <color indexed="81"/>
      <name val="Tahoma"/>
      <family val="2"/>
    </font>
    <font>
      <sz val="13"/>
      <name val="Times New Roman"/>
      <family val="1"/>
    </font>
    <font>
      <sz val="8"/>
      <color indexed="81"/>
      <name val="Tahoma"/>
      <family val="2"/>
    </font>
    <font>
      <b/>
      <sz val="8"/>
      <color indexed="81"/>
      <name val="Tahoma"/>
      <family val="2"/>
    </font>
    <font>
      <strike/>
      <sz val="10"/>
      <name val="Arial"/>
      <family val="2"/>
    </font>
    <font>
      <b/>
      <strike/>
      <sz val="10"/>
      <name val="Arial"/>
      <family val="2"/>
    </font>
    <font>
      <strike/>
      <sz val="10"/>
      <color indexed="48"/>
      <name val="Arial"/>
      <family val="2"/>
    </font>
    <font>
      <strike/>
      <sz val="10"/>
      <color indexed="8"/>
      <name val="Arial"/>
      <family val="2"/>
    </font>
    <font>
      <b/>
      <strike/>
      <sz val="10"/>
      <color indexed="8"/>
      <name val="Arial"/>
      <family val="2"/>
    </font>
    <font>
      <b/>
      <i/>
      <sz val="10"/>
      <name val="Arial"/>
      <family val="2"/>
    </font>
    <font>
      <b/>
      <sz val="14"/>
      <name val="Arial"/>
      <family val="2"/>
    </font>
    <font>
      <sz val="10"/>
      <name val="Arial"/>
      <family val="2"/>
    </font>
    <font>
      <sz val="11"/>
      <color theme="1"/>
      <name val="Calibri"/>
      <family val="2"/>
      <scheme val="minor"/>
    </font>
    <font>
      <b/>
      <sz val="11"/>
      <color theme="3" tint="0.39997558519241921"/>
      <name val="Arial"/>
      <family val="2"/>
    </font>
    <font>
      <b/>
      <sz val="10"/>
      <color rgb="FF0000FF"/>
      <name val="Calibri"/>
      <family val="2"/>
    </font>
    <font>
      <b/>
      <sz val="10"/>
      <color rgb="FFFF0000"/>
      <name val="Arial"/>
      <family val="2"/>
    </font>
    <font>
      <b/>
      <sz val="10"/>
      <color rgb="FFFFFFFF"/>
      <name val="Arial"/>
      <family val="2"/>
    </font>
    <font>
      <sz val="10"/>
      <color rgb="FF0000FF"/>
      <name val="Arial"/>
      <family val="2"/>
    </font>
    <font>
      <b/>
      <sz val="10"/>
      <color rgb="FF333333"/>
      <name val="Calibri"/>
      <family val="2"/>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13"/>
        <bgColor indexed="64"/>
      </patternFill>
    </fill>
    <fill>
      <patternFill patternType="solid">
        <fgColor indexed="52"/>
        <bgColor indexed="64"/>
      </patternFill>
    </fill>
    <fill>
      <patternFill patternType="solid">
        <fgColor rgb="FFEE9512"/>
        <bgColor indexed="64"/>
      </patternFill>
    </fill>
    <fill>
      <patternFill patternType="solid">
        <fgColor rgb="FFFFFFFF"/>
        <bgColor indexed="64"/>
      </patternFill>
    </fill>
    <fill>
      <patternFill patternType="solid">
        <fgColor theme="9" tint="0.39997558519241921"/>
        <bgColor indexed="64"/>
      </patternFill>
    </fill>
    <fill>
      <patternFill patternType="solid">
        <fgColor rgb="FFFFC000"/>
        <bgColor indexed="64"/>
      </patternFill>
    </fill>
    <fill>
      <patternFill patternType="solid">
        <fgColor rgb="FF666699"/>
        <bgColor indexed="64"/>
      </patternFill>
    </fill>
    <fill>
      <patternFill patternType="solid">
        <fgColor rgb="FFFFFF00"/>
        <bgColor indexed="64"/>
      </patternFill>
    </fill>
    <fill>
      <patternFill patternType="solid">
        <fgColor rgb="FF00B0F0"/>
        <bgColor indexed="64"/>
      </patternFill>
    </fill>
    <fill>
      <patternFill patternType="solid">
        <fgColor rgb="FFFF0000"/>
        <bgColor indexed="64"/>
      </patternFill>
    </fill>
  </fills>
  <borders count="7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ck">
        <color indexed="64"/>
      </bottom>
      <diagonal/>
    </border>
    <border>
      <left style="medium">
        <color indexed="64"/>
      </left>
      <right style="thin">
        <color indexed="64"/>
      </right>
      <top/>
      <bottom style="thin">
        <color indexed="64"/>
      </bottom>
      <diagonal/>
    </border>
    <border>
      <left style="thick">
        <color indexed="64"/>
      </left>
      <right style="medium">
        <color indexed="64"/>
      </right>
      <top style="thick">
        <color indexed="64"/>
      </top>
      <bottom style="medium">
        <color indexed="64"/>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right style="thick">
        <color indexed="64"/>
      </right>
      <top/>
      <bottom style="thick">
        <color indexed="64"/>
      </bottom>
      <diagonal/>
    </border>
    <border>
      <left style="thick">
        <color indexed="64"/>
      </left>
      <right/>
      <top/>
      <bottom style="medium">
        <color indexed="64"/>
      </bottom>
      <diagonal/>
    </border>
    <border>
      <left/>
      <right style="thick">
        <color indexed="64"/>
      </right>
      <top/>
      <bottom style="medium">
        <color indexed="64"/>
      </bottom>
      <diagonal/>
    </border>
    <border>
      <left style="thick">
        <color indexed="64"/>
      </left>
      <right style="medium">
        <color indexed="64"/>
      </right>
      <top/>
      <bottom style="medium">
        <color indexed="64"/>
      </bottom>
      <diagonal/>
    </border>
    <border>
      <left/>
      <right style="medium">
        <color indexed="64"/>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medium">
        <color indexed="64"/>
      </right>
      <top style="medium">
        <color indexed="64"/>
      </top>
      <bottom style="medium">
        <color indexed="64"/>
      </bottom>
      <diagonal/>
    </border>
    <border>
      <left/>
      <right style="thick">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medium">
        <color indexed="64"/>
      </left>
      <right/>
      <top style="thick">
        <color indexed="64"/>
      </top>
      <bottom style="medium">
        <color indexed="64"/>
      </bottom>
      <diagonal/>
    </border>
  </borders>
  <cellStyleXfs count="53">
    <xf numFmtId="0" fontId="0" fillId="0" borderId="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7" fillId="3" borderId="0" applyNumberFormat="0" applyBorder="0" applyAlignment="0" applyProtection="0"/>
    <xf numFmtId="0" fontId="28" fillId="20" borderId="1" applyNumberFormat="0" applyAlignment="0" applyProtection="0"/>
    <xf numFmtId="0" fontId="29" fillId="21" borderId="2" applyNumberFormat="0" applyAlignment="0" applyProtection="0"/>
    <xf numFmtId="43"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0" fontId="30" fillId="0" borderId="0" applyNumberFormat="0" applyFill="0" applyBorder="0" applyAlignment="0" applyProtection="0"/>
    <xf numFmtId="0" fontId="31" fillId="4" borderId="0" applyNumberFormat="0" applyBorder="0" applyAlignment="0" applyProtection="0"/>
    <xf numFmtId="0" fontId="3" fillId="0" borderId="3">
      <alignment horizontal="centerContinuous"/>
    </xf>
    <xf numFmtId="0" fontId="32" fillId="0" borderId="4" applyNumberFormat="0" applyFill="0" applyAlignment="0" applyProtection="0"/>
    <xf numFmtId="0" fontId="33" fillId="0" borderId="5" applyNumberFormat="0" applyFill="0" applyAlignment="0" applyProtection="0"/>
    <xf numFmtId="0" fontId="34" fillId="0" borderId="6" applyNumberFormat="0" applyFill="0" applyAlignment="0" applyProtection="0"/>
    <xf numFmtId="0" fontId="34" fillId="0" borderId="0" applyNumberFormat="0" applyFill="0" applyBorder="0" applyAlignment="0" applyProtection="0"/>
    <xf numFmtId="0" fontId="23" fillId="0" borderId="0" applyNumberFormat="0" applyFill="0" applyBorder="0" applyAlignment="0" applyProtection="0">
      <alignment vertical="top"/>
      <protection locked="0"/>
    </xf>
    <xf numFmtId="0" fontId="35" fillId="7" borderId="1" applyNumberFormat="0" applyAlignment="0" applyProtection="0"/>
    <xf numFmtId="0" fontId="36" fillId="0" borderId="7" applyNumberFormat="0" applyFill="0" applyAlignment="0" applyProtection="0"/>
    <xf numFmtId="0" fontId="37" fillId="22" borderId="0" applyNumberFormat="0" applyBorder="0" applyAlignment="0" applyProtection="0"/>
    <xf numFmtId="37" fontId="4" fillId="0" borderId="0"/>
    <xf numFmtId="0" fontId="8" fillId="0" borderId="0"/>
    <xf numFmtId="0" fontId="5" fillId="0" borderId="0"/>
    <xf numFmtId="0" fontId="67" fillId="0" borderId="0"/>
    <xf numFmtId="0" fontId="10" fillId="0" borderId="0"/>
    <xf numFmtId="0" fontId="8" fillId="23" borderId="8" applyNumberFormat="0" applyFont="0" applyAlignment="0" applyProtection="0"/>
    <xf numFmtId="0" fontId="38" fillId="20" borderId="9" applyNumberFormat="0" applyAlignment="0" applyProtection="0"/>
    <xf numFmtId="9" fontId="1" fillId="0" borderId="0" applyFont="0" applyFill="0" applyBorder="0" applyAlignment="0" applyProtection="0"/>
    <xf numFmtId="0" fontId="39" fillId="0" borderId="0" applyNumberFormat="0" applyFill="0" applyBorder="0" applyAlignment="0" applyProtection="0"/>
    <xf numFmtId="0" fontId="40" fillId="0" borderId="10" applyNumberFormat="0" applyFill="0" applyAlignment="0" applyProtection="0"/>
    <xf numFmtId="0" fontId="41" fillId="0" borderId="0" applyNumberFormat="0" applyFill="0" applyBorder="0" applyAlignment="0" applyProtection="0"/>
  </cellStyleXfs>
  <cellXfs count="491">
    <xf numFmtId="0" fontId="0" fillId="0" borderId="0" xfId="0"/>
    <xf numFmtId="0" fontId="0" fillId="0" borderId="0" xfId="0" applyAlignment="1">
      <alignment horizontal="center"/>
    </xf>
    <xf numFmtId="3" fontId="0" fillId="0" borderId="0" xfId="0" applyNumberFormat="1"/>
    <xf numFmtId="4" fontId="0" fillId="0" borderId="0" xfId="0" applyNumberFormat="1"/>
    <xf numFmtId="168" fontId="8" fillId="24" borderId="0" xfId="44" applyNumberFormat="1" applyFont="1" applyFill="1" applyBorder="1" applyAlignment="1" applyProtection="1">
      <alignment horizontal="right"/>
      <protection locked="0"/>
    </xf>
    <xf numFmtId="0" fontId="20" fillId="0" borderId="11" xfId="0" applyFont="1" applyBorder="1" applyAlignment="1">
      <alignment horizontal="center" vertical="top" wrapText="1"/>
    </xf>
    <xf numFmtId="0" fontId="22" fillId="0" borderId="11" xfId="0" applyFont="1" applyBorder="1" applyAlignment="1">
      <alignment vertical="top" wrapText="1"/>
    </xf>
    <xf numFmtId="0" fontId="22" fillId="0" borderId="11" xfId="0" applyFont="1" applyBorder="1" applyAlignment="1">
      <alignment horizontal="center" vertical="top" wrapText="1"/>
    </xf>
    <xf numFmtId="9" fontId="22" fillId="0" borderId="11" xfId="0" applyNumberFormat="1" applyFont="1" applyBorder="1" applyAlignment="1">
      <alignment horizontal="center" vertical="top" wrapText="1"/>
    </xf>
    <xf numFmtId="0" fontId="0" fillId="0" borderId="0" xfId="0" applyAlignment="1">
      <alignment horizontal="left"/>
    </xf>
    <xf numFmtId="0" fontId="21" fillId="0" borderId="0" xfId="0" applyFont="1" applyAlignment="1">
      <alignment horizontal="left"/>
    </xf>
    <xf numFmtId="0" fontId="12" fillId="0" borderId="0" xfId="0" applyFont="1"/>
    <xf numFmtId="0" fontId="12" fillId="0" borderId="12" xfId="0" applyFont="1" applyBorder="1"/>
    <xf numFmtId="3" fontId="12" fillId="0" borderId="13" xfId="0" applyNumberFormat="1" applyFont="1" applyBorder="1"/>
    <xf numFmtId="3" fontId="12" fillId="0" borderId="14" xfId="0" applyNumberFormat="1" applyFont="1" applyBorder="1"/>
    <xf numFmtId="3" fontId="12" fillId="0" borderId="12" xfId="0" applyNumberFormat="1" applyFont="1" applyBorder="1"/>
    <xf numFmtId="4" fontId="12" fillId="0" borderId="13" xfId="0" applyNumberFormat="1" applyFont="1" applyBorder="1"/>
    <xf numFmtId="4" fontId="12" fillId="0" borderId="14" xfId="0" applyNumberFormat="1" applyFont="1" applyBorder="1"/>
    <xf numFmtId="0" fontId="12" fillId="0" borderId="15" xfId="0" applyFont="1" applyBorder="1" applyAlignment="1">
      <alignment horizontal="right"/>
    </xf>
    <xf numFmtId="3" fontId="8" fillId="0" borderId="11" xfId="0" applyNumberFormat="1" applyFont="1" applyBorder="1" applyAlignment="1">
      <alignment horizontal="right"/>
    </xf>
    <xf numFmtId="3" fontId="8" fillId="0" borderId="16" xfId="0" applyNumberFormat="1" applyFont="1" applyBorder="1"/>
    <xf numFmtId="3" fontId="8" fillId="0" borderId="15" xfId="0" applyNumberFormat="1" applyFont="1" applyBorder="1" applyAlignment="1">
      <alignment horizontal="right"/>
    </xf>
    <xf numFmtId="4" fontId="8" fillId="0" borderId="11" xfId="0" applyNumberFormat="1" applyFont="1" applyBorder="1" applyAlignment="1">
      <alignment horizontal="right"/>
    </xf>
    <xf numFmtId="4" fontId="8" fillId="0" borderId="16" xfId="0" applyNumberFormat="1" applyFont="1" applyBorder="1"/>
    <xf numFmtId="4" fontId="8" fillId="0" borderId="15" xfId="0" applyNumberFormat="1" applyFont="1" applyBorder="1" applyAlignment="1">
      <alignment horizontal="right"/>
    </xf>
    <xf numFmtId="3" fontId="8" fillId="0" borderId="16" xfId="0" applyNumberFormat="1" applyFont="1" applyBorder="1" applyAlignment="1">
      <alignment horizontal="right"/>
    </xf>
    <xf numFmtId="3" fontId="8" fillId="0" borderId="0" xfId="0" applyNumberFormat="1" applyFont="1"/>
    <xf numFmtId="4" fontId="8" fillId="0" borderId="0" xfId="0" applyNumberFormat="1" applyFont="1"/>
    <xf numFmtId="3" fontId="8" fillId="0" borderId="15" xfId="0" applyNumberFormat="1" applyFont="1" applyBorder="1"/>
    <xf numFmtId="3" fontId="8" fillId="0" borderId="11" xfId="0" applyNumberFormat="1" applyFont="1" applyBorder="1"/>
    <xf numFmtId="0" fontId="12" fillId="0" borderId="15" xfId="0" applyFont="1" applyBorder="1" applyAlignment="1">
      <alignment horizontal="left"/>
    </xf>
    <xf numFmtId="170" fontId="8" fillId="0" borderId="11" xfId="0" applyNumberFormat="1" applyFont="1" applyBorder="1" applyAlignment="1">
      <alignment horizontal="right"/>
    </xf>
    <xf numFmtId="0" fontId="0" fillId="0" borderId="0" xfId="0" applyBorder="1"/>
    <xf numFmtId="10" fontId="12" fillId="0" borderId="13" xfId="0" applyNumberFormat="1" applyFont="1" applyBorder="1"/>
    <xf numFmtId="10" fontId="12" fillId="0" borderId="14" xfId="0" applyNumberFormat="1" applyFont="1" applyBorder="1"/>
    <xf numFmtId="10" fontId="12" fillId="0" borderId="12" xfId="0" applyNumberFormat="1" applyFont="1" applyBorder="1"/>
    <xf numFmtId="10" fontId="8" fillId="0" borderId="11" xfId="0" applyNumberFormat="1" applyFont="1" applyBorder="1" applyAlignment="1">
      <alignment horizontal="right"/>
    </xf>
    <xf numFmtId="0" fontId="9" fillId="0" borderId="0" xfId="44" applyFont="1" applyProtection="1"/>
    <xf numFmtId="0" fontId="8" fillId="0" borderId="0" xfId="44" applyFont="1" applyProtection="1"/>
    <xf numFmtId="42" fontId="8" fillId="0" borderId="0" xfId="44" applyNumberFormat="1" applyFont="1" applyProtection="1"/>
    <xf numFmtId="0" fontId="9" fillId="0" borderId="0" xfId="44" applyFont="1" applyAlignment="1" applyProtection="1"/>
    <xf numFmtId="0" fontId="9" fillId="0" borderId="0" xfId="44" applyFont="1" applyAlignment="1" applyProtection="1">
      <alignment horizontal="left"/>
    </xf>
    <xf numFmtId="0" fontId="11" fillId="0" borderId="17" xfId="44" applyFont="1" applyBorder="1" applyAlignment="1" applyProtection="1">
      <alignment horizontal="centerContinuous" wrapText="1"/>
    </xf>
    <xf numFmtId="0" fontId="11" fillId="0" borderId="18" xfId="44" applyFont="1" applyBorder="1" applyAlignment="1" applyProtection="1">
      <alignment horizontal="centerContinuous" wrapText="1"/>
    </xf>
    <xf numFmtId="0" fontId="11" fillId="0" borderId="19" xfId="44" applyFont="1" applyBorder="1" applyAlignment="1" applyProtection="1">
      <alignment horizontal="centerContinuous" wrapText="1"/>
    </xf>
    <xf numFmtId="0" fontId="11" fillId="0" borderId="0" xfId="44" applyFont="1" applyBorder="1" applyProtection="1"/>
    <xf numFmtId="0" fontId="12" fillId="0" borderId="20" xfId="44" applyFont="1" applyBorder="1" applyAlignment="1" applyProtection="1">
      <alignment horizontal="center" wrapText="1"/>
    </xf>
    <xf numFmtId="0" fontId="12" fillId="0" borderId="16" xfId="44" applyFont="1" applyBorder="1" applyAlignment="1" applyProtection="1">
      <alignment horizontal="center" wrapText="1"/>
    </xf>
    <xf numFmtId="0" fontId="12" fillId="0" borderId="11" xfId="44" applyFont="1" applyBorder="1" applyAlignment="1" applyProtection="1">
      <alignment horizontal="center" wrapText="1"/>
    </xf>
    <xf numFmtId="0" fontId="12" fillId="24" borderId="21" xfId="44" applyFont="1" applyFill="1" applyBorder="1" applyAlignment="1" applyProtection="1">
      <alignment horizontal="center"/>
    </xf>
    <xf numFmtId="0" fontId="12" fillId="24" borderId="0" xfId="44" applyFont="1" applyFill="1" applyBorder="1" applyAlignment="1" applyProtection="1">
      <alignment horizontal="center"/>
    </xf>
    <xf numFmtId="0" fontId="9" fillId="25" borderId="22" xfId="44" applyFont="1" applyFill="1" applyBorder="1" applyProtection="1"/>
    <xf numFmtId="0" fontId="12" fillId="25" borderId="17" xfId="44" applyFont="1" applyFill="1" applyBorder="1" applyAlignment="1" applyProtection="1">
      <alignment horizontal="center"/>
    </xf>
    <xf numFmtId="0" fontId="12" fillId="25" borderId="18" xfId="44" applyFont="1" applyFill="1" applyBorder="1" applyAlignment="1" applyProtection="1">
      <alignment horizontal="center"/>
    </xf>
    <xf numFmtId="0" fontId="12" fillId="25" borderId="19" xfId="44" applyFont="1" applyFill="1" applyBorder="1" applyAlignment="1" applyProtection="1">
      <alignment horizontal="center"/>
    </xf>
    <xf numFmtId="0" fontId="12" fillId="25" borderId="23" xfId="44" applyFont="1" applyFill="1" applyBorder="1" applyAlignment="1" applyProtection="1">
      <alignment horizontal="left" indent="1"/>
    </xf>
    <xf numFmtId="0" fontId="14" fillId="25" borderId="24" xfId="44" applyFont="1" applyFill="1" applyBorder="1" applyAlignment="1" applyProtection="1">
      <alignment horizontal="centerContinuous"/>
    </xf>
    <xf numFmtId="0" fontId="14" fillId="25" borderId="25" xfId="44" applyFont="1" applyFill="1" applyBorder="1" applyAlignment="1" applyProtection="1">
      <alignment horizontal="centerContinuous"/>
    </xf>
    <xf numFmtId="0" fontId="14" fillId="25" borderId="26" xfId="44" applyFont="1" applyFill="1" applyBorder="1" applyAlignment="1" applyProtection="1">
      <alignment horizontal="centerContinuous"/>
    </xf>
    <xf numFmtId="0" fontId="8" fillId="0" borderId="27" xfId="0" applyFont="1" applyBorder="1" applyAlignment="1" applyProtection="1">
      <alignment horizontal="left" indent="2"/>
    </xf>
    <xf numFmtId="172" fontId="8" fillId="0" borderId="0" xfId="44" applyNumberFormat="1" applyFont="1" applyBorder="1" applyAlignment="1" applyProtection="1">
      <alignment horizontal="right"/>
    </xf>
    <xf numFmtId="172" fontId="8" fillId="0" borderId="28" xfId="44" applyNumberFormat="1" applyFont="1" applyBorder="1" applyAlignment="1" applyProtection="1">
      <alignment horizontal="right"/>
    </xf>
    <xf numFmtId="172" fontId="8" fillId="24" borderId="29" xfId="44" applyNumberFormat="1" applyFont="1" applyFill="1" applyBorder="1" applyAlignment="1" applyProtection="1">
      <alignment horizontal="right"/>
    </xf>
    <xf numFmtId="172" fontId="8" fillId="24" borderId="30" xfId="44" applyNumberFormat="1" applyFont="1" applyFill="1" applyBorder="1" applyAlignment="1" applyProtection="1">
      <alignment horizontal="right"/>
    </xf>
    <xf numFmtId="172" fontId="8" fillId="24" borderId="31" xfId="44" applyNumberFormat="1" applyFont="1" applyFill="1" applyBorder="1" applyAlignment="1" applyProtection="1">
      <alignment horizontal="right"/>
    </xf>
    <xf numFmtId="172" fontId="8" fillId="24" borderId="24" xfId="44" applyNumberFormat="1" applyFont="1" applyFill="1" applyBorder="1" applyAlignment="1" applyProtection="1">
      <alignment horizontal="right"/>
    </xf>
    <xf numFmtId="172" fontId="8" fillId="24" borderId="25" xfId="44" applyNumberFormat="1" applyFont="1" applyFill="1" applyBorder="1" applyAlignment="1" applyProtection="1">
      <alignment horizontal="right"/>
    </xf>
    <xf numFmtId="172" fontId="8" fillId="24" borderId="26" xfId="44" applyNumberFormat="1" applyFont="1" applyFill="1" applyBorder="1" applyAlignment="1" applyProtection="1">
      <alignment horizontal="right"/>
    </xf>
    <xf numFmtId="0" fontId="8" fillId="0" borderId="23" xfId="0" applyFont="1" applyBorder="1" applyAlignment="1" applyProtection="1">
      <alignment horizontal="left" indent="2"/>
    </xf>
    <xf numFmtId="172" fontId="8" fillId="0" borderId="25" xfId="44" applyNumberFormat="1" applyFont="1" applyBorder="1" applyAlignment="1" applyProtection="1">
      <alignment horizontal="right"/>
    </xf>
    <xf numFmtId="172" fontId="8" fillId="0" borderId="26" xfId="44" applyNumberFormat="1" applyFont="1" applyBorder="1" applyAlignment="1" applyProtection="1">
      <alignment horizontal="right"/>
    </xf>
    <xf numFmtId="172" fontId="8" fillId="24" borderId="32" xfId="44" applyNumberFormat="1" applyFont="1" applyFill="1" applyBorder="1" applyAlignment="1" applyProtection="1">
      <alignment horizontal="right"/>
    </xf>
    <xf numFmtId="172" fontId="8" fillId="24" borderId="33" xfId="44" applyNumberFormat="1" applyFont="1" applyFill="1" applyBorder="1" applyAlignment="1" applyProtection="1">
      <alignment horizontal="right"/>
    </xf>
    <xf numFmtId="172" fontId="8" fillId="24" borderId="34" xfId="44" applyNumberFormat="1" applyFont="1" applyFill="1" applyBorder="1" applyAlignment="1" applyProtection="1">
      <alignment horizontal="right"/>
    </xf>
    <xf numFmtId="0" fontId="8" fillId="0" borderId="27" xfId="0" applyFont="1" applyBorder="1" applyAlignment="1" applyProtection="1">
      <alignment horizontal="left" indent="1"/>
    </xf>
    <xf numFmtId="168" fontId="8" fillId="0" borderId="0" xfId="44" applyNumberFormat="1" applyFont="1" applyBorder="1" applyAlignment="1" applyProtection="1">
      <alignment horizontal="right"/>
    </xf>
    <xf numFmtId="168" fontId="8" fillId="0" borderId="28" xfId="44" applyNumberFormat="1" applyFont="1" applyBorder="1" applyAlignment="1" applyProtection="1">
      <alignment horizontal="right"/>
    </xf>
    <xf numFmtId="0" fontId="8" fillId="25" borderId="18" xfId="44" applyFont="1" applyFill="1" applyBorder="1" applyProtection="1"/>
    <xf numFmtId="0" fontId="8" fillId="25" borderId="35" xfId="44" applyFont="1" applyFill="1" applyBorder="1" applyProtection="1"/>
    <xf numFmtId="0" fontId="8" fillId="25" borderId="19" xfId="44" applyFont="1" applyFill="1" applyBorder="1" applyProtection="1"/>
    <xf numFmtId="0" fontId="8" fillId="0" borderId="36" xfId="44" applyFont="1" applyBorder="1" applyProtection="1"/>
    <xf numFmtId="166" fontId="8" fillId="0" borderId="30" xfId="30" quotePrefix="1" applyNumberFormat="1" applyFont="1" applyFill="1" applyBorder="1" applyAlignment="1" applyProtection="1">
      <alignment horizontal="center"/>
    </xf>
    <xf numFmtId="166" fontId="8" fillId="0" borderId="0" xfId="44" applyNumberFormat="1" applyFont="1" applyBorder="1" applyAlignment="1" applyProtection="1">
      <alignment horizontal="right"/>
    </xf>
    <xf numFmtId="166" fontId="8" fillId="0" borderId="31" xfId="30" quotePrefix="1" applyNumberFormat="1" applyFont="1" applyFill="1" applyBorder="1" applyAlignment="1" applyProtection="1">
      <alignment horizontal="right"/>
    </xf>
    <xf numFmtId="0" fontId="8" fillId="0" borderId="15" xfId="44" applyFont="1" applyBorder="1" applyProtection="1"/>
    <xf numFmtId="166" fontId="8" fillId="0" borderId="16" xfId="30" quotePrefix="1" applyNumberFormat="1" applyFont="1" applyFill="1" applyBorder="1" applyAlignment="1" applyProtection="1">
      <alignment horizontal="center"/>
    </xf>
    <xf numFmtId="166" fontId="8" fillId="0" borderId="16" xfId="44" applyNumberFormat="1" applyFont="1" applyBorder="1" applyAlignment="1" applyProtection="1">
      <alignment horizontal="right"/>
    </xf>
    <xf numFmtId="166" fontId="8" fillId="0" borderId="11" xfId="30" quotePrefix="1" applyNumberFormat="1" applyFont="1" applyFill="1" applyBorder="1" applyAlignment="1" applyProtection="1">
      <alignment horizontal="right"/>
    </xf>
    <xf numFmtId="0" fontId="8" fillId="0" borderId="0" xfId="44" applyFont="1" applyBorder="1" applyProtection="1"/>
    <xf numFmtId="165" fontId="19" fillId="0" borderId="0" xfId="30" quotePrefix="1" applyNumberFormat="1" applyFont="1" applyFill="1" applyBorder="1" applyAlignment="1" applyProtection="1">
      <alignment horizontal="center"/>
    </xf>
    <xf numFmtId="0" fontId="0" fillId="0" borderId="0" xfId="0" applyProtection="1"/>
    <xf numFmtId="0" fontId="12" fillId="25" borderId="12" xfId="44" applyFont="1" applyFill="1" applyBorder="1" applyAlignment="1" applyProtection="1">
      <alignment horizontal="center" wrapText="1"/>
    </xf>
    <xf numFmtId="0" fontId="0" fillId="0" borderId="0" xfId="0" applyProtection="1">
      <protection locked="0"/>
    </xf>
    <xf numFmtId="0" fontId="0" fillId="0" borderId="0" xfId="0" applyBorder="1" applyProtection="1"/>
    <xf numFmtId="0" fontId="10" fillId="0" borderId="0" xfId="44" applyFont="1" applyProtection="1"/>
    <xf numFmtId="0" fontId="11" fillId="0" borderId="17" xfId="44" applyFont="1" applyBorder="1" applyAlignment="1" applyProtection="1">
      <alignment horizontal="centerContinuous"/>
    </xf>
    <xf numFmtId="0" fontId="9" fillId="0" borderId="18" xfId="44" applyFont="1" applyBorder="1" applyAlignment="1" applyProtection="1">
      <alignment horizontal="centerContinuous"/>
    </xf>
    <xf numFmtId="0" fontId="9" fillId="0" borderId="19" xfId="44" applyFont="1" applyBorder="1" applyAlignment="1" applyProtection="1">
      <alignment horizontal="centerContinuous"/>
    </xf>
    <xf numFmtId="0" fontId="12" fillId="0" borderId="20" xfId="44" applyFont="1" applyBorder="1" applyAlignment="1" applyProtection="1">
      <alignment horizontal="center"/>
    </xf>
    <xf numFmtId="0" fontId="12" fillId="0" borderId="16" xfId="44" applyFont="1" applyBorder="1" applyAlignment="1" applyProtection="1">
      <alignment horizontal="center"/>
    </xf>
    <xf numFmtId="0" fontId="13" fillId="0" borderId="11" xfId="44" applyFont="1" applyBorder="1" applyAlignment="1" applyProtection="1">
      <alignment horizontal="center"/>
    </xf>
    <xf numFmtId="0" fontId="13" fillId="24" borderId="28" xfId="44" applyFont="1" applyFill="1" applyBorder="1" applyAlignment="1" applyProtection="1">
      <alignment horizontal="center"/>
    </xf>
    <xf numFmtId="0" fontId="9" fillId="25" borderId="17" xfId="44" applyFont="1" applyFill="1" applyBorder="1" applyProtection="1"/>
    <xf numFmtId="0" fontId="14" fillId="25" borderId="17" xfId="44" applyFont="1" applyFill="1" applyBorder="1" applyAlignment="1" applyProtection="1">
      <alignment horizontal="centerContinuous"/>
    </xf>
    <xf numFmtId="0" fontId="12" fillId="25" borderId="18" xfId="44" applyFont="1" applyFill="1" applyBorder="1" applyAlignment="1" applyProtection="1">
      <alignment horizontal="centerContinuous"/>
    </xf>
    <xf numFmtId="0" fontId="10" fillId="25" borderId="19" xfId="44" applyFont="1" applyFill="1" applyBorder="1" applyAlignment="1" applyProtection="1">
      <alignment horizontal="centerContinuous"/>
    </xf>
    <xf numFmtId="0" fontId="14" fillId="25" borderId="18" xfId="44" applyFont="1" applyFill="1" applyBorder="1" applyAlignment="1" applyProtection="1">
      <alignment horizontal="centerContinuous"/>
    </xf>
    <xf numFmtId="0" fontId="8" fillId="0" borderId="29" xfId="0" applyFont="1" applyBorder="1" applyAlignment="1" applyProtection="1">
      <alignment horizontal="left" indent="1"/>
    </xf>
    <xf numFmtId="168" fontId="8" fillId="0" borderId="29" xfId="44" applyNumberFormat="1" applyFont="1" applyBorder="1" applyAlignment="1" applyProtection="1">
      <alignment horizontal="right"/>
    </xf>
    <xf numFmtId="168" fontId="8" fillId="0" borderId="30" xfId="44" applyNumberFormat="1" applyFont="1" applyBorder="1" applyAlignment="1" applyProtection="1">
      <alignment horizontal="right"/>
    </xf>
    <xf numFmtId="168" fontId="8" fillId="24" borderId="30" xfId="44" applyNumberFormat="1" applyFont="1" applyFill="1" applyBorder="1" applyAlignment="1" applyProtection="1">
      <alignment horizontal="right"/>
    </xf>
    <xf numFmtId="4" fontId="13" fillId="0" borderId="31" xfId="44" applyNumberFormat="1" applyFont="1" applyBorder="1" applyAlignment="1" applyProtection="1">
      <alignment horizontal="right"/>
    </xf>
    <xf numFmtId="0" fontId="8" fillId="0" borderId="21" xfId="0" applyFont="1" applyBorder="1" applyAlignment="1" applyProtection="1">
      <alignment horizontal="left" indent="1"/>
    </xf>
    <xf numFmtId="168" fontId="8" fillId="0" borderId="21" xfId="44" applyNumberFormat="1" applyFont="1" applyBorder="1" applyAlignment="1" applyProtection="1">
      <alignment horizontal="right"/>
    </xf>
    <xf numFmtId="168" fontId="8" fillId="24" borderId="0" xfId="44" applyNumberFormat="1" applyFont="1" applyFill="1" applyBorder="1" applyAlignment="1" applyProtection="1">
      <alignment horizontal="right"/>
    </xf>
    <xf numFmtId="4" fontId="13" fillId="0" borderId="28" xfId="44" applyNumberFormat="1" applyFont="1" applyBorder="1" applyAlignment="1" applyProtection="1">
      <alignment horizontal="right"/>
    </xf>
    <xf numFmtId="168" fontId="8" fillId="0" borderId="24" xfId="44" applyNumberFormat="1" applyFont="1" applyBorder="1" applyAlignment="1" applyProtection="1">
      <alignment horizontal="right"/>
    </xf>
    <xf numFmtId="168" fontId="8" fillId="24" borderId="25" xfId="44" applyNumberFormat="1" applyFont="1" applyFill="1" applyBorder="1" applyAlignment="1" applyProtection="1">
      <alignment horizontal="right"/>
    </xf>
    <xf numFmtId="168" fontId="8" fillId="0" borderId="25" xfId="44" applyNumberFormat="1" applyFont="1" applyBorder="1" applyAlignment="1" applyProtection="1">
      <alignment horizontal="right"/>
    </xf>
    <xf numFmtId="4" fontId="13" fillId="0" borderId="26" xfId="44" applyNumberFormat="1" applyFont="1" applyBorder="1" applyAlignment="1" applyProtection="1">
      <alignment horizontal="right"/>
    </xf>
    <xf numFmtId="0" fontId="8" fillId="0" borderId="21" xfId="44" applyFont="1" applyBorder="1" applyProtection="1"/>
    <xf numFmtId="0" fontId="12" fillId="0" borderId="21" xfId="44" applyFont="1" applyBorder="1" applyAlignment="1" applyProtection="1">
      <alignment horizontal="center"/>
    </xf>
    <xf numFmtId="0" fontId="12" fillId="0" borderId="0" xfId="44" applyFont="1" applyBorder="1" applyAlignment="1" applyProtection="1">
      <alignment horizontal="center"/>
    </xf>
    <xf numFmtId="0" fontId="13" fillId="0" borderId="28" xfId="44" applyFont="1" applyBorder="1" applyAlignment="1" applyProtection="1">
      <alignment horizontal="center"/>
    </xf>
    <xf numFmtId="0" fontId="12" fillId="25" borderId="32" xfId="44" applyFont="1" applyFill="1" applyBorder="1" applyAlignment="1" applyProtection="1">
      <alignment horizontal="left" indent="1"/>
    </xf>
    <xf numFmtId="0" fontId="12" fillId="25" borderId="32" xfId="44" applyFont="1" applyFill="1" applyBorder="1" applyAlignment="1" applyProtection="1">
      <alignment horizontal="center"/>
    </xf>
    <xf numFmtId="0" fontId="12" fillId="25" borderId="33" xfId="44" applyFont="1" applyFill="1" applyBorder="1" applyAlignment="1" applyProtection="1">
      <alignment horizontal="center"/>
    </xf>
    <xf numFmtId="0" fontId="13" fillId="25" borderId="34" xfId="44" applyFont="1" applyFill="1" applyBorder="1" applyAlignment="1" applyProtection="1">
      <alignment horizontal="center"/>
    </xf>
    <xf numFmtId="164" fontId="15" fillId="0" borderId="0" xfId="28" applyNumberFormat="1" applyFont="1" applyAlignment="1" applyProtection="1"/>
    <xf numFmtId="0" fontId="8" fillId="0" borderId="21" xfId="0" applyFont="1" applyBorder="1" applyAlignment="1" applyProtection="1">
      <alignment horizontal="left" indent="2"/>
    </xf>
    <xf numFmtId="0" fontId="8" fillId="0" borderId="24" xfId="0" applyFont="1" applyBorder="1" applyAlignment="1" applyProtection="1">
      <alignment horizontal="left" indent="2"/>
    </xf>
    <xf numFmtId="0" fontId="8" fillId="0" borderId="20" xfId="0" applyFont="1" applyBorder="1" applyAlignment="1" applyProtection="1">
      <alignment horizontal="left" indent="2"/>
    </xf>
    <xf numFmtId="168" fontId="8" fillId="0" borderId="20" xfId="44" applyNumberFormat="1" applyFont="1" applyBorder="1" applyAlignment="1" applyProtection="1">
      <alignment horizontal="right"/>
    </xf>
    <xf numFmtId="168" fontId="8" fillId="24" borderId="16" xfId="44" applyNumberFormat="1" applyFont="1" applyFill="1" applyBorder="1" applyAlignment="1" applyProtection="1">
      <alignment horizontal="right"/>
    </xf>
    <xf numFmtId="168" fontId="8" fillId="0" borderId="16" xfId="44" applyNumberFormat="1" applyFont="1" applyBorder="1" applyAlignment="1" applyProtection="1">
      <alignment horizontal="right"/>
    </xf>
    <xf numFmtId="4" fontId="13" fillId="0" borderId="11" xfId="44" applyNumberFormat="1" applyFont="1" applyBorder="1" applyAlignment="1" applyProtection="1">
      <alignment horizontal="right"/>
    </xf>
    <xf numFmtId="0" fontId="8" fillId="0" borderId="0" xfId="0" applyFont="1" applyBorder="1" applyAlignment="1" applyProtection="1">
      <alignment horizontal="left" indent="1"/>
    </xf>
    <xf numFmtId="4" fontId="13" fillId="0" borderId="0" xfId="44" applyNumberFormat="1" applyFont="1" applyBorder="1" applyAlignment="1" applyProtection="1">
      <alignment horizontal="right"/>
    </xf>
    <xf numFmtId="0" fontId="13" fillId="25" borderId="19" xfId="44" applyFont="1" applyFill="1" applyBorder="1" applyAlignment="1" applyProtection="1">
      <alignment horizontal="center"/>
    </xf>
    <xf numFmtId="0" fontId="12" fillId="25" borderId="25" xfId="44" applyFont="1" applyFill="1" applyBorder="1" applyAlignment="1" applyProtection="1">
      <alignment horizontal="centerContinuous"/>
    </xf>
    <xf numFmtId="0" fontId="10" fillId="25" borderId="26" xfId="44" applyFont="1" applyFill="1" applyBorder="1" applyAlignment="1" applyProtection="1">
      <alignment horizontal="centerContinuous"/>
    </xf>
    <xf numFmtId="0" fontId="8" fillId="0" borderId="0" xfId="44" applyNumberFormat="1" applyFont="1" applyBorder="1" applyAlignment="1" applyProtection="1">
      <alignment horizontal="right"/>
    </xf>
    <xf numFmtId="0" fontId="12" fillId="25" borderId="37" xfId="44" applyFont="1" applyFill="1" applyBorder="1" applyAlignment="1" applyProtection="1">
      <alignment horizontal="left" indent="1"/>
    </xf>
    <xf numFmtId="0" fontId="14" fillId="25" borderId="32" xfId="44" applyFont="1" applyFill="1" applyBorder="1" applyAlignment="1" applyProtection="1">
      <alignment horizontal="centerContinuous"/>
    </xf>
    <xf numFmtId="0" fontId="12" fillId="25" borderId="33" xfId="44" applyFont="1" applyFill="1" applyBorder="1" applyAlignment="1" applyProtection="1">
      <alignment horizontal="centerContinuous"/>
    </xf>
    <xf numFmtId="0" fontId="10" fillId="25" borderId="34" xfId="44" applyFont="1" applyFill="1" applyBorder="1" applyAlignment="1" applyProtection="1">
      <alignment horizontal="centerContinuous"/>
    </xf>
    <xf numFmtId="0" fontId="14" fillId="25" borderId="33" xfId="44" applyFont="1" applyFill="1" applyBorder="1" applyAlignment="1" applyProtection="1">
      <alignment horizontal="centerContinuous"/>
    </xf>
    <xf numFmtId="0" fontId="8" fillId="0" borderId="38" xfId="0" applyFont="1" applyBorder="1" applyProtection="1"/>
    <xf numFmtId="168" fontId="8" fillId="0" borderId="39" xfId="44" applyNumberFormat="1" applyFont="1" applyBorder="1" applyAlignment="1" applyProtection="1">
      <alignment horizontal="right"/>
    </xf>
    <xf numFmtId="4" fontId="13" fillId="0" borderId="40" xfId="44" applyNumberFormat="1" applyFont="1" applyBorder="1" applyAlignment="1" applyProtection="1">
      <alignment horizontal="right"/>
    </xf>
    <xf numFmtId="0" fontId="9" fillId="26" borderId="41" xfId="44" applyFont="1" applyFill="1" applyBorder="1" applyProtection="1"/>
    <xf numFmtId="0" fontId="14" fillId="26" borderId="42" xfId="44" applyFont="1" applyFill="1" applyBorder="1" applyAlignment="1" applyProtection="1">
      <alignment horizontal="centerContinuous"/>
    </xf>
    <xf numFmtId="0" fontId="12" fillId="26" borderId="42" xfId="44" applyFont="1" applyFill="1" applyBorder="1" applyAlignment="1" applyProtection="1">
      <alignment horizontal="centerContinuous"/>
    </xf>
    <xf numFmtId="0" fontId="8" fillId="26" borderId="43" xfId="44" applyFont="1" applyFill="1" applyBorder="1" applyAlignment="1" applyProtection="1">
      <alignment horizontal="centerContinuous"/>
    </xf>
    <xf numFmtId="0" fontId="8" fillId="0" borderId="15" xfId="0" applyFont="1" applyBorder="1" applyAlignment="1" applyProtection="1">
      <alignment horizontal="left" indent="1"/>
    </xf>
    <xf numFmtId="0" fontId="8" fillId="0" borderId="0" xfId="0" applyFont="1" applyProtection="1"/>
    <xf numFmtId="0" fontId="8" fillId="0" borderId="36" xfId="0" applyFont="1" applyBorder="1" applyAlignment="1" applyProtection="1">
      <alignment horizontal="left" indent="1"/>
    </xf>
    <xf numFmtId="9" fontId="8" fillId="0" borderId="30" xfId="44" applyNumberFormat="1" applyFont="1" applyBorder="1" applyAlignment="1" applyProtection="1">
      <alignment horizontal="right"/>
    </xf>
    <xf numFmtId="9" fontId="8" fillId="24" borderId="30" xfId="44" applyNumberFormat="1" applyFont="1" applyFill="1" applyBorder="1" applyAlignment="1" applyProtection="1">
      <alignment horizontal="right"/>
    </xf>
    <xf numFmtId="9" fontId="8" fillId="0" borderId="31" xfId="44" applyNumberFormat="1" applyFont="1" applyBorder="1" applyAlignment="1" applyProtection="1">
      <alignment horizontal="right"/>
    </xf>
    <xf numFmtId="9" fontId="8" fillId="0" borderId="0" xfId="44" applyNumberFormat="1" applyFont="1" applyBorder="1" applyAlignment="1" applyProtection="1">
      <alignment horizontal="right"/>
    </xf>
    <xf numFmtId="9" fontId="8" fillId="24" borderId="0" xfId="44" applyNumberFormat="1" applyFont="1" applyFill="1" applyBorder="1" applyAlignment="1" applyProtection="1">
      <alignment horizontal="right"/>
    </xf>
    <xf numFmtId="9" fontId="8" fillId="0" borderId="28" xfId="44" applyNumberFormat="1" applyFont="1" applyBorder="1" applyAlignment="1" applyProtection="1">
      <alignment horizontal="right"/>
    </xf>
    <xf numFmtId="9" fontId="8" fillId="0" borderId="16" xfId="44" applyNumberFormat="1" applyFont="1" applyBorder="1" applyAlignment="1" applyProtection="1">
      <alignment horizontal="right"/>
    </xf>
    <xf numFmtId="9" fontId="8" fillId="24" borderId="16" xfId="44" applyNumberFormat="1" applyFont="1" applyFill="1" applyBorder="1" applyAlignment="1" applyProtection="1">
      <alignment horizontal="right"/>
    </xf>
    <xf numFmtId="9" fontId="8" fillId="0" borderId="11" xfId="44" applyNumberFormat="1" applyFont="1" applyBorder="1" applyAlignment="1" applyProtection="1">
      <alignment horizontal="right"/>
    </xf>
    <xf numFmtId="0" fontId="9" fillId="25" borderId="12" xfId="44" applyFont="1" applyFill="1" applyBorder="1" applyProtection="1"/>
    <xf numFmtId="9" fontId="9" fillId="25" borderId="14" xfId="44" applyNumberFormat="1" applyFont="1" applyFill="1" applyBorder="1" applyAlignment="1" applyProtection="1">
      <alignment horizontal="right"/>
    </xf>
    <xf numFmtId="9" fontId="9" fillId="25" borderId="13" xfId="44" applyNumberFormat="1" applyFont="1" applyFill="1" applyBorder="1" applyAlignment="1" applyProtection="1">
      <alignment horizontal="right"/>
    </xf>
    <xf numFmtId="0" fontId="16" fillId="0" borderId="0" xfId="44" applyFont="1" applyBorder="1" applyProtection="1"/>
    <xf numFmtId="0" fontId="10" fillId="0" borderId="0" xfId="44" applyFont="1" applyBorder="1" applyProtection="1"/>
    <xf numFmtId="0" fontId="10" fillId="25" borderId="19" xfId="44" applyFont="1" applyFill="1" applyBorder="1" applyProtection="1"/>
    <xf numFmtId="42" fontId="8" fillId="0" borderId="29" xfId="30" quotePrefix="1" applyNumberFormat="1" applyFont="1" applyFill="1" applyBorder="1" applyAlignment="1" applyProtection="1">
      <alignment horizontal="center"/>
    </xf>
    <xf numFmtId="42" fontId="8" fillId="0" borderId="30" xfId="30" quotePrefix="1" applyNumberFormat="1" applyFont="1" applyFill="1" applyBorder="1" applyAlignment="1" applyProtection="1">
      <alignment horizontal="center"/>
    </xf>
    <xf numFmtId="42" fontId="8" fillId="0" borderId="31" xfId="30" quotePrefix="1" applyNumberFormat="1" applyFont="1" applyFill="1" applyBorder="1" applyAlignment="1" applyProtection="1">
      <alignment horizontal="center"/>
    </xf>
    <xf numFmtId="0" fontId="8" fillId="0" borderId="27" xfId="44" applyFont="1" applyBorder="1" applyProtection="1"/>
    <xf numFmtId="42" fontId="8" fillId="0" borderId="0" xfId="30" quotePrefix="1" applyNumberFormat="1" applyFont="1" applyFill="1" applyBorder="1" applyAlignment="1" applyProtection="1">
      <alignment horizontal="center"/>
    </xf>
    <xf numFmtId="42" fontId="8" fillId="0" borderId="28" xfId="30" quotePrefix="1" applyNumberFormat="1" applyFont="1" applyFill="1" applyBorder="1" applyAlignment="1" applyProtection="1">
      <alignment horizontal="center"/>
    </xf>
    <xf numFmtId="0" fontId="8" fillId="0" borderId="23" xfId="44" applyFont="1" applyBorder="1" applyProtection="1"/>
    <xf numFmtId="42" fontId="8" fillId="0" borderId="25" xfId="30" quotePrefix="1" applyNumberFormat="1" applyFont="1" applyFill="1" applyBorder="1" applyAlignment="1" applyProtection="1">
      <alignment horizontal="center"/>
    </xf>
    <xf numFmtId="42" fontId="8" fillId="0" borderId="26" xfId="30" quotePrefix="1" applyNumberFormat="1" applyFont="1" applyFill="1" applyBorder="1" applyAlignment="1" applyProtection="1">
      <alignment horizontal="center"/>
    </xf>
    <xf numFmtId="0" fontId="17" fillId="0" borderId="15" xfId="44" applyFont="1" applyBorder="1" applyProtection="1"/>
    <xf numFmtId="165" fontId="18" fillId="0" borderId="16" xfId="30" quotePrefix="1" applyNumberFormat="1" applyFont="1" applyFill="1" applyBorder="1" applyAlignment="1" applyProtection="1">
      <alignment horizontal="center"/>
    </xf>
    <xf numFmtId="165" fontId="18" fillId="0" borderId="11" xfId="30" quotePrefix="1" applyNumberFormat="1" applyFont="1" applyFill="1" applyBorder="1" applyAlignment="1" applyProtection="1">
      <alignment horizontal="center"/>
    </xf>
    <xf numFmtId="0" fontId="8" fillId="0" borderId="0" xfId="44" applyFont="1" applyFill="1" applyProtection="1"/>
    <xf numFmtId="0" fontId="8" fillId="0" borderId="12" xfId="44" applyFont="1" applyFill="1" applyBorder="1" applyProtection="1"/>
    <xf numFmtId="42" fontId="8" fillId="0" borderId="14" xfId="44" applyNumberFormat="1" applyFont="1" applyFill="1" applyBorder="1" applyProtection="1"/>
    <xf numFmtId="42" fontId="10" fillId="0" borderId="13" xfId="44" applyNumberFormat="1" applyFont="1" applyFill="1" applyBorder="1" applyProtection="1"/>
    <xf numFmtId="165" fontId="19" fillId="0" borderId="0" xfId="30" quotePrefix="1" applyNumberFormat="1" applyFont="1" applyFill="1" applyBorder="1" applyAlignment="1" applyProtection="1">
      <alignment horizontal="right"/>
    </xf>
    <xf numFmtId="9" fontId="12" fillId="25" borderId="14" xfId="44" applyNumberFormat="1" applyFont="1" applyFill="1" applyBorder="1" applyAlignment="1" applyProtection="1">
      <alignment horizontal="right"/>
    </xf>
    <xf numFmtId="9" fontId="13" fillId="24" borderId="13" xfId="44" applyNumberFormat="1" applyFont="1" applyFill="1" applyBorder="1" applyAlignment="1" applyProtection="1">
      <alignment horizontal="right"/>
    </xf>
    <xf numFmtId="42" fontId="8" fillId="25" borderId="14" xfId="44" applyNumberFormat="1" applyFont="1" applyFill="1" applyBorder="1" applyProtection="1"/>
    <xf numFmtId="42" fontId="10" fillId="25" borderId="13" xfId="44" applyNumberFormat="1" applyFont="1" applyFill="1" applyBorder="1" applyProtection="1"/>
    <xf numFmtId="0" fontId="9" fillId="27" borderId="12" xfId="44" applyFont="1" applyFill="1" applyBorder="1" applyProtection="1"/>
    <xf numFmtId="10" fontId="8" fillId="27" borderId="14" xfId="44" applyNumberFormat="1" applyFont="1" applyFill="1" applyBorder="1" applyAlignment="1" applyProtection="1">
      <alignment horizontal="center"/>
    </xf>
    <xf numFmtId="0" fontId="10" fillId="24" borderId="13" xfId="44" applyFont="1" applyFill="1" applyBorder="1" applyProtection="1"/>
    <xf numFmtId="42" fontId="8" fillId="27" borderId="14" xfId="44" applyNumberFormat="1" applyFont="1" applyFill="1" applyBorder="1" applyProtection="1"/>
    <xf numFmtId="42" fontId="10" fillId="27" borderId="13" xfId="44" applyNumberFormat="1" applyFont="1" applyFill="1" applyBorder="1" applyProtection="1"/>
    <xf numFmtId="165" fontId="8" fillId="0" borderId="0" xfId="30" applyNumberFormat="1" applyFont="1" applyProtection="1"/>
    <xf numFmtId="0" fontId="42" fillId="0" borderId="0" xfId="0" applyFont="1"/>
    <xf numFmtId="0" fontId="0" fillId="0" borderId="0" xfId="0" applyBorder="1" applyAlignment="1">
      <alignment horizontal="center"/>
    </xf>
    <xf numFmtId="0" fontId="8" fillId="0" borderId="0" xfId="0" applyFont="1"/>
    <xf numFmtId="0" fontId="12" fillId="0" borderId="17" xfId="0" applyFont="1" applyBorder="1"/>
    <xf numFmtId="0" fontId="0" fillId="0" borderId="44" xfId="0" applyBorder="1"/>
    <xf numFmtId="0" fontId="8" fillId="0" borderId="21" xfId="0" applyFont="1" applyBorder="1"/>
    <xf numFmtId="3" fontId="0" fillId="0" borderId="45" xfId="0" applyNumberFormat="1" applyBorder="1"/>
    <xf numFmtId="168" fontId="0" fillId="0" borderId="45" xfId="0" applyNumberFormat="1" applyBorder="1"/>
    <xf numFmtId="0" fontId="0" fillId="0" borderId="45" xfId="0" applyBorder="1"/>
    <xf numFmtId="0" fontId="8" fillId="28" borderId="21" xfId="0" applyFont="1" applyFill="1" applyBorder="1"/>
    <xf numFmtId="9" fontId="0" fillId="28" borderId="0" xfId="0" applyNumberFormat="1" applyFill="1" applyBorder="1"/>
    <xf numFmtId="168" fontId="0" fillId="0" borderId="0" xfId="0" applyNumberFormat="1"/>
    <xf numFmtId="3" fontId="0" fillId="0" borderId="0" xfId="0" applyNumberFormat="1" applyBorder="1"/>
    <xf numFmtId="9" fontId="1" fillId="0" borderId="0" xfId="49" applyFont="1"/>
    <xf numFmtId="0" fontId="0" fillId="0" borderId="46" xfId="0" applyBorder="1"/>
    <xf numFmtId="0" fontId="0" fillId="0" borderId="21" xfId="0" applyBorder="1"/>
    <xf numFmtId="168" fontId="0" fillId="0" borderId="0" xfId="0" applyNumberFormat="1" applyBorder="1"/>
    <xf numFmtId="0" fontId="0" fillId="0" borderId="0" xfId="0" applyFill="1" applyBorder="1"/>
    <xf numFmtId="0" fontId="8" fillId="0" borderId="0" xfId="0" applyFont="1" applyFill="1" applyBorder="1"/>
    <xf numFmtId="3" fontId="0" fillId="0" borderId="0" xfId="0" applyNumberFormat="1" applyFill="1" applyBorder="1"/>
    <xf numFmtId="0" fontId="8" fillId="0" borderId="0" xfId="0" applyFont="1" applyFill="1"/>
    <xf numFmtId="0" fontId="10" fillId="0" borderId="0" xfId="46" applyFont="1" applyFill="1" applyBorder="1" applyAlignment="1">
      <alignment horizontal="left" wrapText="1"/>
    </xf>
    <xf numFmtId="0" fontId="0" fillId="0" borderId="0" xfId="0" applyFill="1"/>
    <xf numFmtId="0" fontId="43" fillId="0" borderId="0" xfId="0" applyFont="1" applyFill="1"/>
    <xf numFmtId="0" fontId="43" fillId="0" borderId="0" xfId="0" applyFont="1"/>
    <xf numFmtId="14" fontId="0" fillId="0" borderId="0" xfId="0" applyNumberFormat="1"/>
    <xf numFmtId="0" fontId="23" fillId="0" borderId="0" xfId="38" quotePrefix="1" applyAlignment="1" applyProtection="1"/>
    <xf numFmtId="0" fontId="0" fillId="25" borderId="0" xfId="0" applyFill="1"/>
    <xf numFmtId="0" fontId="12" fillId="0" borderId="27" xfId="0" applyFont="1" applyFill="1" applyBorder="1" applyAlignment="1">
      <alignment horizontal="right"/>
    </xf>
    <xf numFmtId="0" fontId="0" fillId="0" borderId="0" xfId="0" applyAlignment="1">
      <alignment wrapText="1"/>
    </xf>
    <xf numFmtId="0" fontId="8" fillId="0" borderId="0" xfId="0" applyFont="1" applyAlignment="1">
      <alignment wrapText="1"/>
    </xf>
    <xf numFmtId="0" fontId="53" fillId="0" borderId="0" xfId="38" quotePrefix="1" applyFont="1" applyAlignment="1" applyProtection="1"/>
    <xf numFmtId="42" fontId="8" fillId="29" borderId="14" xfId="44" applyNumberFormat="1" applyFont="1" applyFill="1" applyBorder="1" applyProtection="1"/>
    <xf numFmtId="0" fontId="8" fillId="29" borderId="0" xfId="44" applyFont="1" applyFill="1" applyBorder="1" applyProtection="1"/>
    <xf numFmtId="10" fontId="8" fillId="29" borderId="14" xfId="44" applyNumberFormat="1" applyFont="1" applyFill="1" applyBorder="1" applyAlignment="1" applyProtection="1">
      <alignment horizontal="center"/>
    </xf>
    <xf numFmtId="9" fontId="12" fillId="30" borderId="14" xfId="44" applyNumberFormat="1" applyFont="1" applyFill="1" applyBorder="1" applyAlignment="1" applyProtection="1">
      <alignment horizontal="right"/>
    </xf>
    <xf numFmtId="0" fontId="68" fillId="0" borderId="0" xfId="0" applyFont="1"/>
    <xf numFmtId="165" fontId="0" fillId="0" borderId="0" xfId="29" applyNumberFormat="1" applyFont="1"/>
    <xf numFmtId="0" fontId="69" fillId="0" borderId="0" xfId="0" applyFont="1" applyAlignment="1">
      <alignment wrapText="1"/>
    </xf>
    <xf numFmtId="0" fontId="69" fillId="0" borderId="18" xfId="0" applyFont="1" applyBorder="1" applyAlignment="1">
      <alignment wrapText="1"/>
    </xf>
    <xf numFmtId="0" fontId="0" fillId="0" borderId="16" xfId="0" applyBorder="1" applyAlignment="1">
      <alignment wrapText="1"/>
    </xf>
    <xf numFmtId="0" fontId="69" fillId="31" borderId="0" xfId="0" applyFont="1" applyFill="1" applyAlignment="1">
      <alignment wrapText="1"/>
    </xf>
    <xf numFmtId="0" fontId="69" fillId="31" borderId="18" xfId="0" applyFont="1" applyFill="1" applyBorder="1" applyAlignment="1">
      <alignment wrapText="1"/>
    </xf>
    <xf numFmtId="0" fontId="0" fillId="31" borderId="16" xfId="0" applyFill="1" applyBorder="1" applyAlignment="1">
      <alignment wrapText="1"/>
    </xf>
    <xf numFmtId="0" fontId="69" fillId="31" borderId="16" xfId="0" applyFont="1" applyFill="1" applyBorder="1" applyAlignment="1">
      <alignment wrapText="1"/>
    </xf>
    <xf numFmtId="0" fontId="47" fillId="0" borderId="0" xfId="0" applyFont="1" applyAlignment="1">
      <alignment wrapText="1"/>
    </xf>
    <xf numFmtId="6" fontId="0" fillId="0" borderId="0" xfId="0" applyNumberFormat="1"/>
    <xf numFmtId="6" fontId="47" fillId="0" borderId="0" xfId="0" applyNumberFormat="1" applyFont="1" applyAlignment="1">
      <alignment wrapText="1"/>
    </xf>
    <xf numFmtId="9" fontId="47" fillId="31" borderId="0" xfId="0" applyNumberFormat="1" applyFont="1" applyFill="1" applyAlignment="1">
      <alignment horizontal="center" wrapText="1"/>
    </xf>
    <xf numFmtId="6" fontId="47" fillId="31" borderId="0" xfId="0" applyNumberFormat="1" applyFont="1" applyFill="1" applyAlignment="1">
      <alignment wrapText="1"/>
    </xf>
    <xf numFmtId="0" fontId="56" fillId="0" borderId="0" xfId="0" applyFont="1" applyAlignment="1">
      <alignment wrapText="1"/>
    </xf>
    <xf numFmtId="0" fontId="47" fillId="0" borderId="47" xfId="0" applyFont="1" applyBorder="1" applyAlignment="1">
      <alignment wrapText="1"/>
    </xf>
    <xf numFmtId="6" fontId="47" fillId="0" borderId="47" xfId="0" applyNumberFormat="1" applyFont="1" applyBorder="1" applyAlignment="1">
      <alignment wrapText="1"/>
    </xf>
    <xf numFmtId="9" fontId="47" fillId="31" borderId="47" xfId="0" applyNumberFormat="1" applyFont="1" applyFill="1" applyBorder="1" applyAlignment="1">
      <alignment horizontal="center" wrapText="1"/>
    </xf>
    <xf numFmtId="6" fontId="47" fillId="31" borderId="47" xfId="0" applyNumberFormat="1" applyFont="1" applyFill="1" applyBorder="1" applyAlignment="1">
      <alignment wrapText="1"/>
    </xf>
    <xf numFmtId="165" fontId="12" fillId="0" borderId="0" xfId="0" applyNumberFormat="1" applyFont="1"/>
    <xf numFmtId="42" fontId="8" fillId="30" borderId="14" xfId="44" applyNumberFormat="1" applyFont="1" applyFill="1" applyBorder="1" applyProtection="1"/>
    <xf numFmtId="165" fontId="12" fillId="32" borderId="0" xfId="0" applyNumberFormat="1" applyFont="1" applyFill="1"/>
    <xf numFmtId="165" fontId="0" fillId="32" borderId="0" xfId="0" applyNumberFormat="1" applyFill="1"/>
    <xf numFmtId="0" fontId="70" fillId="0" borderId="0" xfId="0" quotePrefix="1" applyFont="1"/>
    <xf numFmtId="165" fontId="18" fillId="30" borderId="16" xfId="30" quotePrefix="1" applyNumberFormat="1" applyFont="1" applyFill="1" applyBorder="1" applyAlignment="1" applyProtection="1">
      <alignment horizontal="center"/>
    </xf>
    <xf numFmtId="168" fontId="8" fillId="33" borderId="30" xfId="44" applyNumberFormat="1" applyFont="1" applyFill="1" applyBorder="1" applyAlignment="1" applyProtection="1">
      <alignment horizontal="right"/>
    </xf>
    <xf numFmtId="168" fontId="8" fillId="33" borderId="0" xfId="44" applyNumberFormat="1" applyFont="1" applyFill="1" applyBorder="1" applyAlignment="1" applyProtection="1">
      <alignment horizontal="right"/>
    </xf>
    <xf numFmtId="0" fontId="8" fillId="33" borderId="0" xfId="44" applyNumberFormat="1" applyFont="1" applyFill="1" applyBorder="1" applyAlignment="1" applyProtection="1">
      <alignment horizontal="right"/>
    </xf>
    <xf numFmtId="168" fontId="8" fillId="33" borderId="25" xfId="44" applyNumberFormat="1" applyFont="1" applyFill="1" applyBorder="1" applyAlignment="1" applyProtection="1">
      <alignment horizontal="right"/>
    </xf>
    <xf numFmtId="3" fontId="0" fillId="33" borderId="0" xfId="0" applyNumberFormat="1" applyFill="1"/>
    <xf numFmtId="0" fontId="0" fillId="33" borderId="0" xfId="0" applyFill="1"/>
    <xf numFmtId="4" fontId="0" fillId="33" borderId="0" xfId="0" applyNumberFormat="1" applyFill="1"/>
    <xf numFmtId="0" fontId="59" fillId="0" borderId="0" xfId="0" applyFont="1"/>
    <xf numFmtId="3" fontId="59" fillId="0" borderId="0" xfId="0" applyNumberFormat="1" applyFont="1"/>
    <xf numFmtId="4" fontId="59" fillId="0" borderId="0" xfId="0" applyNumberFormat="1" applyFont="1"/>
    <xf numFmtId="3" fontId="59" fillId="0" borderId="0" xfId="0" applyNumberFormat="1" applyFont="1" applyFill="1"/>
    <xf numFmtId="0" fontId="59" fillId="0" borderId="0" xfId="0" applyFont="1" applyFill="1"/>
    <xf numFmtId="4" fontId="59" fillId="0" borderId="0" xfId="0" applyNumberFormat="1" applyFont="1" applyFill="1"/>
    <xf numFmtId="0" fontId="0" fillId="33" borderId="0" xfId="0" applyFill="1" applyAlignment="1">
      <alignment horizontal="center"/>
    </xf>
    <xf numFmtId="0" fontId="8" fillId="0" borderId="12" xfId="0" applyFont="1" applyBorder="1" applyAlignment="1">
      <alignment horizontal="center" wrapText="1"/>
    </xf>
    <xf numFmtId="0" fontId="8" fillId="0" borderId="13" xfId="0" applyFont="1" applyBorder="1" applyAlignment="1">
      <alignment horizontal="center" vertical="top" wrapText="1"/>
    </xf>
    <xf numFmtId="0" fontId="8" fillId="0" borderId="13" xfId="0" applyFont="1" applyBorder="1" applyAlignment="1">
      <alignment horizontal="center"/>
    </xf>
    <xf numFmtId="0" fontId="8" fillId="0" borderId="15" xfId="0" applyFont="1" applyBorder="1" applyAlignment="1">
      <alignment wrapText="1"/>
    </xf>
    <xf numFmtId="3" fontId="8" fillId="0" borderId="11" xfId="0" applyNumberFormat="1" applyFont="1" applyBorder="1" applyAlignment="1">
      <alignment horizontal="right" wrapText="1"/>
    </xf>
    <xf numFmtId="0" fontId="8" fillId="0" borderId="11" xfId="0" applyFont="1" applyBorder="1" applyAlignment="1">
      <alignment horizontal="right" wrapText="1"/>
    </xf>
    <xf numFmtId="0" fontId="8" fillId="0" borderId="11" xfId="0" applyFont="1" applyBorder="1" applyAlignment="1">
      <alignment horizontal="right"/>
    </xf>
    <xf numFmtId="9" fontId="0" fillId="0" borderId="0" xfId="49" applyFont="1" applyAlignment="1">
      <alignment horizontal="center"/>
    </xf>
    <xf numFmtId="168" fontId="8" fillId="33" borderId="29" xfId="44" applyNumberFormat="1" applyFont="1" applyFill="1" applyBorder="1" applyAlignment="1" applyProtection="1">
      <alignment horizontal="right"/>
    </xf>
    <xf numFmtId="168" fontId="8" fillId="33" borderId="21" xfId="44" applyNumberFormat="1" applyFont="1" applyFill="1" applyBorder="1" applyAlignment="1" applyProtection="1">
      <alignment horizontal="right"/>
    </xf>
    <xf numFmtId="168" fontId="8" fillId="33" borderId="24" xfId="44" applyNumberFormat="1" applyFont="1" applyFill="1" applyBorder="1" applyAlignment="1" applyProtection="1">
      <alignment horizontal="right"/>
    </xf>
    <xf numFmtId="0" fontId="8" fillId="0" borderId="48" xfId="0" applyFont="1" applyBorder="1" applyAlignment="1" applyProtection="1">
      <alignment horizontal="left" indent="1"/>
    </xf>
    <xf numFmtId="168" fontId="8" fillId="0" borderId="0" xfId="44" applyNumberFormat="1" applyFont="1" applyProtection="1"/>
    <xf numFmtId="0" fontId="71" fillId="34" borderId="12" xfId="0" applyFont="1" applyFill="1" applyBorder="1" applyAlignment="1">
      <alignment wrapText="1"/>
    </xf>
    <xf numFmtId="0" fontId="71" fillId="34" borderId="13" xfId="0" applyFont="1" applyFill="1" applyBorder="1" applyAlignment="1">
      <alignment wrapText="1"/>
    </xf>
    <xf numFmtId="0" fontId="72" fillId="0" borderId="11" xfId="0" applyFont="1" applyBorder="1" applyAlignment="1">
      <alignment wrapText="1"/>
    </xf>
    <xf numFmtId="0" fontId="8" fillId="0" borderId="11" xfId="0" applyFont="1" applyBorder="1" applyAlignment="1">
      <alignment wrapText="1"/>
    </xf>
    <xf numFmtId="0" fontId="12" fillId="33" borderId="0" xfId="0" applyFont="1" applyFill="1"/>
    <xf numFmtId="4" fontId="8" fillId="33" borderId="0" xfId="0" applyNumberFormat="1" applyFont="1" applyFill="1"/>
    <xf numFmtId="3" fontId="8" fillId="33" borderId="0" xfId="0" applyNumberFormat="1" applyFont="1" applyFill="1"/>
    <xf numFmtId="0" fontId="0" fillId="0" borderId="0" xfId="0" applyAlignment="1">
      <alignment horizontal="left" indent="1"/>
    </xf>
    <xf numFmtId="0" fontId="72" fillId="0" borderId="0" xfId="0" applyFont="1" applyAlignment="1">
      <alignment horizontal="left" indent="1"/>
    </xf>
    <xf numFmtId="0" fontId="53" fillId="0" borderId="0" xfId="38" applyFont="1" applyAlignment="1" applyProtection="1"/>
    <xf numFmtId="0" fontId="8" fillId="0" borderId="0" xfId="0" applyFont="1" applyFill="1" applyBorder="1" applyAlignment="1">
      <alignment wrapText="1"/>
    </xf>
    <xf numFmtId="0" fontId="8" fillId="0" borderId="0" xfId="43"/>
    <xf numFmtId="0" fontId="46" fillId="0" borderId="49" xfId="43" applyFont="1" applyBorder="1" applyAlignment="1">
      <alignment vertical="top" wrapText="1"/>
    </xf>
    <xf numFmtId="0" fontId="46" fillId="0" borderId="50" xfId="43" applyFont="1" applyBorder="1" applyAlignment="1">
      <alignment vertical="top" wrapText="1"/>
    </xf>
    <xf numFmtId="0" fontId="46" fillId="0" borderId="51" xfId="43" applyFont="1" applyBorder="1" applyAlignment="1">
      <alignment horizontal="justify" vertical="top" wrapText="1"/>
    </xf>
    <xf numFmtId="0" fontId="46" fillId="0" borderId="52" xfId="43" applyFont="1" applyBorder="1" applyAlignment="1">
      <alignment horizontal="justify" vertical="top" wrapText="1"/>
    </xf>
    <xf numFmtId="0" fontId="46" fillId="0" borderId="53" xfId="43" applyFont="1" applyBorder="1" applyAlignment="1">
      <alignment vertical="top" wrapText="1"/>
    </xf>
    <xf numFmtId="0" fontId="46" fillId="0" borderId="16" xfId="43" applyFont="1" applyBorder="1" applyAlignment="1">
      <alignment horizontal="center" vertical="top" wrapText="1"/>
    </xf>
    <xf numFmtId="0" fontId="46" fillId="0" borderId="54" xfId="43" applyFont="1" applyBorder="1" applyAlignment="1">
      <alignment horizontal="center" vertical="top" wrapText="1"/>
    </xf>
    <xf numFmtId="0" fontId="47" fillId="0" borderId="55" xfId="43" applyFont="1" applyBorder="1" applyAlignment="1">
      <alignment vertical="top" wrapText="1"/>
    </xf>
    <xf numFmtId="0" fontId="47" fillId="0" borderId="49" xfId="43" applyFont="1" applyBorder="1" applyAlignment="1">
      <alignment horizontal="center" wrapText="1"/>
    </xf>
    <xf numFmtId="0" fontId="47" fillId="0" borderId="56" xfId="43" applyFont="1" applyBorder="1" applyAlignment="1">
      <alignment horizontal="center" vertical="top" wrapText="1"/>
    </xf>
    <xf numFmtId="0" fontId="47" fillId="0" borderId="56" xfId="43" applyFont="1" applyBorder="1" applyAlignment="1">
      <alignment horizontal="center" wrapText="1"/>
    </xf>
    <xf numFmtId="0" fontId="47" fillId="0" borderId="57" xfId="43" applyFont="1" applyBorder="1" applyAlignment="1">
      <alignment horizontal="center" vertical="top" wrapText="1"/>
    </xf>
    <xf numFmtId="0" fontId="47" fillId="0" borderId="55" xfId="43" applyFont="1" applyBorder="1" applyAlignment="1">
      <alignment horizontal="center" wrapText="1"/>
    </xf>
    <xf numFmtId="0" fontId="47" fillId="0" borderId="11" xfId="43" applyFont="1" applyBorder="1" applyAlignment="1">
      <alignment horizontal="center" vertical="top" wrapText="1"/>
    </xf>
    <xf numFmtId="0" fontId="47" fillId="0" borderId="11" xfId="43" applyFont="1" applyBorder="1" applyAlignment="1">
      <alignment horizontal="center" wrapText="1"/>
    </xf>
    <xf numFmtId="0" fontId="47" fillId="0" borderId="54" xfId="43" applyFont="1" applyBorder="1" applyAlignment="1">
      <alignment horizontal="center" vertical="top" wrapText="1"/>
    </xf>
    <xf numFmtId="0" fontId="47" fillId="33" borderId="55" xfId="43" applyFont="1" applyFill="1" applyBorder="1" applyAlignment="1">
      <alignment horizontal="center" wrapText="1"/>
    </xf>
    <xf numFmtId="0" fontId="47" fillId="33" borderId="11" xfId="43" applyFont="1" applyFill="1" applyBorder="1" applyAlignment="1">
      <alignment horizontal="center" vertical="top" wrapText="1"/>
    </xf>
    <xf numFmtId="0" fontId="47" fillId="33" borderId="11" xfId="43" applyFont="1" applyFill="1" applyBorder="1" applyAlignment="1">
      <alignment horizontal="center" wrapText="1"/>
    </xf>
    <xf numFmtId="172" fontId="47" fillId="33" borderId="11" xfId="43" applyNumberFormat="1" applyFont="1" applyFill="1" applyBorder="1" applyAlignment="1">
      <alignment horizontal="center" wrapText="1"/>
    </xf>
    <xf numFmtId="0" fontId="47" fillId="33" borderId="54" xfId="43" applyFont="1" applyFill="1" applyBorder="1" applyAlignment="1">
      <alignment horizontal="center" vertical="top" wrapText="1"/>
    </xf>
    <xf numFmtId="0" fontId="47" fillId="33" borderId="50" xfId="43" applyFont="1" applyFill="1" applyBorder="1" applyAlignment="1">
      <alignment horizontal="center" wrapText="1"/>
    </xf>
    <xf numFmtId="0" fontId="47" fillId="0" borderId="58" xfId="43" applyFont="1" applyBorder="1" applyAlignment="1">
      <alignment horizontal="center" wrapText="1"/>
    </xf>
    <xf numFmtId="0" fontId="47" fillId="0" borderId="13" xfId="43" applyFont="1" applyBorder="1" applyAlignment="1">
      <alignment horizontal="center" vertical="top" wrapText="1"/>
    </xf>
    <xf numFmtId="0" fontId="47" fillId="0" borderId="13" xfId="43" applyFont="1" applyBorder="1" applyAlignment="1">
      <alignment horizontal="center" wrapText="1"/>
    </xf>
    <xf numFmtId="0" fontId="47" fillId="0" borderId="59" xfId="43" applyFont="1" applyBorder="1" applyAlignment="1">
      <alignment horizontal="center" vertical="top" wrapText="1"/>
    </xf>
    <xf numFmtId="0" fontId="47" fillId="0" borderId="51" xfId="43" applyFont="1" applyBorder="1" applyAlignment="1">
      <alignment horizontal="center" wrapText="1"/>
    </xf>
    <xf numFmtId="0" fontId="47" fillId="0" borderId="52" xfId="43" applyFont="1" applyBorder="1" applyAlignment="1">
      <alignment horizontal="center" vertical="top" wrapText="1"/>
    </xf>
    <xf numFmtId="0" fontId="47" fillId="0" borderId="58" xfId="43" applyFont="1" applyBorder="1" applyAlignment="1">
      <alignment horizontal="center" vertical="top" wrapText="1"/>
    </xf>
    <xf numFmtId="0" fontId="47" fillId="0" borderId="55" xfId="43" applyFont="1" applyBorder="1" applyAlignment="1">
      <alignment horizontal="center" vertical="top" wrapText="1"/>
    </xf>
    <xf numFmtId="0" fontId="47" fillId="0" borderId="50" xfId="43" applyFont="1" applyBorder="1" applyAlignment="1">
      <alignment horizontal="center" wrapText="1"/>
    </xf>
    <xf numFmtId="0" fontId="47" fillId="0" borderId="51" xfId="43" applyFont="1" applyBorder="1" applyAlignment="1">
      <alignment horizontal="center" vertical="top" wrapText="1"/>
    </xf>
    <xf numFmtId="0" fontId="47" fillId="33" borderId="51" xfId="43" applyFont="1" applyFill="1" applyBorder="1" applyAlignment="1">
      <alignment horizontal="center" wrapText="1"/>
    </xf>
    <xf numFmtId="0" fontId="48" fillId="0" borderId="55" xfId="43" applyFont="1" applyBorder="1" applyAlignment="1">
      <alignment vertical="top" wrapText="1"/>
    </xf>
    <xf numFmtId="0" fontId="73" fillId="0" borderId="55" xfId="43" applyFont="1" applyBorder="1" applyAlignment="1">
      <alignment horizontal="center" vertical="top" wrapText="1"/>
    </xf>
    <xf numFmtId="0" fontId="73" fillId="0" borderId="11" xfId="43" applyFont="1" applyBorder="1" applyAlignment="1">
      <alignment horizontal="center" vertical="top" wrapText="1"/>
    </xf>
    <xf numFmtId="0" fontId="73" fillId="0" borderId="54" xfId="43" applyFont="1" applyBorder="1" applyAlignment="1">
      <alignment horizontal="center" vertical="top" wrapText="1"/>
    </xf>
    <xf numFmtId="0" fontId="49" fillId="0" borderId="55" xfId="43" applyFont="1" applyBorder="1" applyAlignment="1">
      <alignment vertical="top" wrapText="1"/>
    </xf>
    <xf numFmtId="0" fontId="60" fillId="25" borderId="37" xfId="44" applyFont="1" applyFill="1" applyBorder="1" applyAlignment="1" applyProtection="1">
      <alignment horizontal="left" indent="1"/>
    </xf>
    <xf numFmtId="0" fontId="61" fillId="25" borderId="32" xfId="44" applyFont="1" applyFill="1" applyBorder="1" applyAlignment="1" applyProtection="1">
      <alignment horizontal="centerContinuous"/>
    </xf>
    <xf numFmtId="0" fontId="60" fillId="25" borderId="33" xfId="44" applyFont="1" applyFill="1" applyBorder="1" applyAlignment="1" applyProtection="1">
      <alignment horizontal="centerContinuous"/>
    </xf>
    <xf numFmtId="0" fontId="62" fillId="25" borderId="34" xfId="44" applyFont="1" applyFill="1" applyBorder="1" applyAlignment="1" applyProtection="1">
      <alignment horizontal="centerContinuous"/>
    </xf>
    <xf numFmtId="0" fontId="61" fillId="25" borderId="33" xfId="44" applyFont="1" applyFill="1" applyBorder="1" applyAlignment="1" applyProtection="1">
      <alignment horizontal="centerContinuous"/>
    </xf>
    <xf numFmtId="0" fontId="59" fillId="0" borderId="27" xfId="0" applyFont="1" applyBorder="1" applyAlignment="1" applyProtection="1">
      <alignment horizontal="left" indent="2"/>
    </xf>
    <xf numFmtId="168" fontId="59" fillId="0" borderId="0" xfId="44" applyNumberFormat="1" applyFont="1" applyBorder="1" applyAlignment="1" applyProtection="1">
      <alignment horizontal="right"/>
    </xf>
    <xf numFmtId="168" fontId="59" fillId="24" borderId="0" xfId="44" applyNumberFormat="1" applyFont="1" applyFill="1" applyBorder="1" applyAlignment="1" applyProtection="1">
      <alignment horizontal="right"/>
    </xf>
    <xf numFmtId="4" fontId="63" fillId="0" borderId="28" xfId="44" applyNumberFormat="1" applyFont="1" applyBorder="1" applyAlignment="1" applyProtection="1">
      <alignment horizontal="right"/>
    </xf>
    <xf numFmtId="168" fontId="59" fillId="33" borderId="0" xfId="44" applyNumberFormat="1" applyFont="1" applyFill="1" applyBorder="1" applyAlignment="1" applyProtection="1">
      <alignment horizontal="right"/>
    </xf>
    <xf numFmtId="0" fontId="59" fillId="0" borderId="23" xfId="0" applyFont="1" applyBorder="1" applyAlignment="1" applyProtection="1">
      <alignment horizontal="left" indent="2"/>
    </xf>
    <xf numFmtId="168" fontId="59" fillId="0" borderId="25" xfId="44" applyNumberFormat="1" applyFont="1" applyBorder="1" applyAlignment="1" applyProtection="1">
      <alignment horizontal="right"/>
    </xf>
    <xf numFmtId="168" fontId="59" fillId="24" borderId="25" xfId="44" applyNumberFormat="1" applyFont="1" applyFill="1" applyBorder="1" applyAlignment="1" applyProtection="1">
      <alignment horizontal="right"/>
    </xf>
    <xf numFmtId="4" fontId="63" fillId="0" borderId="26" xfId="44" applyNumberFormat="1" applyFont="1" applyBorder="1" applyAlignment="1" applyProtection="1">
      <alignment horizontal="right"/>
    </xf>
    <xf numFmtId="168" fontId="59" fillId="33" borderId="25" xfId="44" applyNumberFormat="1" applyFont="1" applyFill="1" applyBorder="1" applyAlignment="1" applyProtection="1">
      <alignment horizontal="right"/>
    </xf>
    <xf numFmtId="0" fontId="52" fillId="0" borderId="0" xfId="44" applyFont="1" applyProtection="1"/>
    <xf numFmtId="172" fontId="8" fillId="0" borderId="17" xfId="44" applyNumberFormat="1" applyFont="1" applyBorder="1" applyProtection="1"/>
    <xf numFmtId="172" fontId="8" fillId="0" borderId="18" xfId="44" applyNumberFormat="1" applyFont="1" applyBorder="1" applyProtection="1"/>
    <xf numFmtId="172" fontId="8" fillId="0" borderId="19" xfId="44" applyNumberFormat="1" applyFont="1" applyBorder="1" applyProtection="1"/>
    <xf numFmtId="172" fontId="8" fillId="0" borderId="21" xfId="44" applyNumberFormat="1" applyFont="1" applyBorder="1" applyProtection="1"/>
    <xf numFmtId="172" fontId="8" fillId="0" borderId="0" xfId="44" applyNumberFormat="1" applyFont="1" applyBorder="1" applyProtection="1"/>
    <xf numFmtId="172" fontId="8" fillId="0" borderId="28" xfId="44" applyNumberFormat="1" applyFont="1" applyBorder="1" applyProtection="1"/>
    <xf numFmtId="172" fontId="8" fillId="0" borderId="20" xfId="44" applyNumberFormat="1" applyFont="1" applyBorder="1" applyProtection="1"/>
    <xf numFmtId="172" fontId="8" fillId="0" borderId="16" xfId="44" applyNumberFormat="1" applyFont="1" applyBorder="1" applyProtection="1"/>
    <xf numFmtId="172" fontId="8" fillId="0" borderId="11" xfId="44" applyNumberFormat="1" applyFont="1" applyBorder="1" applyProtection="1"/>
    <xf numFmtId="2" fontId="8" fillId="0" borderId="0" xfId="44" applyNumberFormat="1" applyFont="1" applyProtection="1"/>
    <xf numFmtId="167" fontId="8" fillId="0" borderId="0" xfId="44" applyNumberFormat="1" applyFont="1" applyBorder="1" applyProtection="1"/>
    <xf numFmtId="0" fontId="23" fillId="0" borderId="0" xfId="38" quotePrefix="1" applyFont="1" applyAlignment="1" applyProtection="1"/>
    <xf numFmtId="164" fontId="12" fillId="35" borderId="21" xfId="44" applyNumberFormat="1" applyFont="1" applyFill="1" applyBorder="1" applyProtection="1"/>
    <xf numFmtId="164" fontId="12" fillId="35" borderId="0" xfId="44" applyNumberFormat="1" applyFont="1" applyFill="1" applyBorder="1" applyProtection="1"/>
    <xf numFmtId="166" fontId="8" fillId="36" borderId="30" xfId="30" quotePrefix="1" applyNumberFormat="1" applyFont="1" applyFill="1" applyBorder="1" applyAlignment="1" applyProtection="1">
      <alignment horizontal="center"/>
    </xf>
    <xf numFmtId="166" fontId="8" fillId="36" borderId="16" xfId="30" quotePrefix="1" applyNumberFormat="1" applyFont="1" applyFill="1" applyBorder="1" applyAlignment="1" applyProtection="1">
      <alignment horizontal="center"/>
    </xf>
    <xf numFmtId="164" fontId="8" fillId="0" borderId="0" xfId="44" applyNumberFormat="1" applyFont="1" applyProtection="1"/>
    <xf numFmtId="164" fontId="12" fillId="35" borderId="21" xfId="28" applyNumberFormat="1" applyFont="1" applyFill="1" applyBorder="1" applyProtection="1"/>
    <xf numFmtId="164" fontId="12" fillId="35" borderId="0" xfId="28" applyNumberFormat="1" applyFont="1" applyFill="1" applyBorder="1" applyProtection="1"/>
    <xf numFmtId="0" fontId="12" fillId="0" borderId="17" xfId="44" applyFont="1" applyBorder="1" applyAlignment="1" applyProtection="1">
      <alignment horizontal="center"/>
    </xf>
    <xf numFmtId="0" fontId="12" fillId="0" borderId="18" xfId="44" applyFont="1" applyBorder="1" applyAlignment="1" applyProtection="1">
      <alignment horizontal="center"/>
    </xf>
    <xf numFmtId="0" fontId="65" fillId="0" borderId="12" xfId="44" applyFont="1" applyBorder="1" applyAlignment="1" applyProtection="1">
      <alignment horizontal="center"/>
    </xf>
    <xf numFmtId="0" fontId="12" fillId="0" borderId="19" xfId="44" applyFont="1" applyBorder="1" applyAlignment="1" applyProtection="1">
      <alignment horizontal="center"/>
    </xf>
    <xf numFmtId="164" fontId="12" fillId="35" borderId="28" xfId="28" applyNumberFormat="1" applyFont="1" applyFill="1" applyBorder="1" applyProtection="1"/>
    <xf numFmtId="164" fontId="12" fillId="35" borderId="28" xfId="44" applyNumberFormat="1" applyFont="1" applyFill="1" applyBorder="1" applyProtection="1"/>
    <xf numFmtId="0" fontId="8" fillId="0" borderId="0" xfId="44" applyFont="1" applyBorder="1" applyAlignment="1" applyProtection="1">
      <alignment horizontal="right"/>
    </xf>
    <xf numFmtId="0" fontId="12" fillId="0" borderId="0" xfId="44" applyFont="1" applyFill="1" applyBorder="1" applyAlignment="1" applyProtection="1">
      <alignment horizontal="center"/>
    </xf>
    <xf numFmtId="0" fontId="12" fillId="36" borderId="17" xfId="44" applyFont="1" applyFill="1" applyBorder="1" applyAlignment="1" applyProtection="1">
      <alignment horizontal="center"/>
    </xf>
    <xf numFmtId="0" fontId="12" fillId="36" borderId="18" xfId="44" applyFont="1" applyFill="1" applyBorder="1" applyAlignment="1" applyProtection="1">
      <alignment horizontal="center"/>
    </xf>
    <xf numFmtId="0" fontId="12" fillId="0" borderId="0" xfId="44" applyFont="1" applyBorder="1" applyAlignment="1" applyProtection="1">
      <alignment horizontal="right"/>
    </xf>
    <xf numFmtId="164" fontId="12" fillId="35" borderId="12" xfId="44" applyNumberFormat="1" applyFont="1" applyFill="1" applyBorder="1" applyProtection="1"/>
    <xf numFmtId="0" fontId="8" fillId="0" borderId="17" xfId="44" applyFont="1" applyBorder="1" applyProtection="1"/>
    <xf numFmtId="0" fontId="8" fillId="0" borderId="18" xfId="44" applyFont="1" applyBorder="1" applyProtection="1"/>
    <xf numFmtId="0" fontId="8" fillId="0" borderId="20" xfId="44" applyFont="1" applyBorder="1" applyProtection="1"/>
    <xf numFmtId="0" fontId="8" fillId="0" borderId="16" xfId="44" applyFont="1" applyBorder="1" applyProtection="1"/>
    <xf numFmtId="0" fontId="12" fillId="0" borderId="22" xfId="44" applyFont="1" applyBorder="1" applyAlignment="1" applyProtection="1">
      <alignment horizontal="center"/>
    </xf>
    <xf numFmtId="164" fontId="12" fillId="35" borderId="60" xfId="44" applyNumberFormat="1" applyFont="1" applyFill="1" applyBorder="1" applyProtection="1"/>
    <xf numFmtId="164" fontId="12" fillId="35" borderId="14" xfId="44" applyNumberFormat="1" applyFont="1" applyFill="1" applyBorder="1" applyProtection="1"/>
    <xf numFmtId="0" fontId="8" fillId="0" borderId="0" xfId="44" applyFont="1" applyAlignment="1" applyProtection="1">
      <alignment horizontal="right"/>
    </xf>
    <xf numFmtId="165" fontId="8" fillId="0" borderId="0" xfId="44" applyNumberFormat="1" applyFont="1" applyProtection="1"/>
    <xf numFmtId="165" fontId="12" fillId="35" borderId="60" xfId="44" applyNumberFormat="1" applyFont="1" applyFill="1" applyBorder="1" applyProtection="1"/>
    <xf numFmtId="165" fontId="12" fillId="35" borderId="12" xfId="44" applyNumberFormat="1" applyFont="1" applyFill="1" applyBorder="1" applyProtection="1"/>
    <xf numFmtId="165" fontId="12" fillId="35" borderId="12" xfId="29" applyNumberFormat="1" applyFont="1" applyFill="1" applyBorder="1"/>
    <xf numFmtId="0" fontId="8" fillId="0" borderId="0" xfId="44" applyFont="1" applyFill="1" applyBorder="1" applyProtection="1"/>
    <xf numFmtId="165" fontId="12" fillId="35" borderId="14" xfId="29" applyNumberFormat="1" applyFont="1" applyFill="1" applyBorder="1"/>
    <xf numFmtId="0" fontId="8" fillId="0" borderId="11" xfId="44" applyFont="1" applyBorder="1" applyProtection="1"/>
    <xf numFmtId="0" fontId="8" fillId="0" borderId="12" xfId="44" applyFont="1" applyBorder="1" applyAlignment="1" applyProtection="1">
      <alignment horizontal="center"/>
    </xf>
    <xf numFmtId="0" fontId="12" fillId="37" borderId="17" xfId="44" applyFont="1" applyFill="1" applyBorder="1" applyProtection="1"/>
    <xf numFmtId="0" fontId="8" fillId="37" borderId="18" xfId="44" applyFont="1" applyFill="1" applyBorder="1" applyProtection="1"/>
    <xf numFmtId="0" fontId="8" fillId="37" borderId="19" xfId="44" applyFont="1" applyFill="1" applyBorder="1" applyProtection="1"/>
    <xf numFmtId="0" fontId="12" fillId="37" borderId="21" xfId="44" applyFont="1" applyFill="1" applyBorder="1" applyProtection="1"/>
    <xf numFmtId="0" fontId="8" fillId="37" borderId="0" xfId="44" applyFont="1" applyFill="1" applyBorder="1" applyProtection="1"/>
    <xf numFmtId="0" fontId="8" fillId="37" borderId="28" xfId="44" applyFont="1" applyFill="1" applyBorder="1" applyProtection="1"/>
    <xf numFmtId="0" fontId="12" fillId="37" borderId="0" xfId="44" applyFont="1" applyFill="1" applyBorder="1" applyProtection="1"/>
    <xf numFmtId="0" fontId="52" fillId="37" borderId="28" xfId="44" applyFont="1" applyFill="1" applyBorder="1" applyProtection="1"/>
    <xf numFmtId="164" fontId="8" fillId="37" borderId="63" xfId="28" applyNumberFormat="1" applyFont="1" applyFill="1" applyBorder="1" applyProtection="1"/>
    <xf numFmtId="164" fontId="8" fillId="37" borderId="64" xfId="28" applyNumberFormat="1" applyFont="1" applyFill="1" applyBorder="1" applyProtection="1"/>
    <xf numFmtId="164" fontId="8" fillId="37" borderId="28" xfId="28" applyNumberFormat="1" applyFont="1" applyFill="1" applyBorder="1" applyProtection="1"/>
    <xf numFmtId="165" fontId="66" fillId="37" borderId="17" xfId="29" applyNumberFormat="1" applyFont="1" applyFill="1" applyBorder="1"/>
    <xf numFmtId="165" fontId="66" fillId="37" borderId="18" xfId="29" applyNumberFormat="1" applyFont="1" applyFill="1" applyBorder="1"/>
    <xf numFmtId="165" fontId="66" fillId="37" borderId="21" xfId="29" applyNumberFormat="1" applyFont="1" applyFill="1" applyBorder="1"/>
    <xf numFmtId="165" fontId="66" fillId="37" borderId="0" xfId="29" applyNumberFormat="1" applyFont="1" applyFill="1" applyBorder="1"/>
    <xf numFmtId="164" fontId="8" fillId="37" borderId="65" xfId="28" applyNumberFormat="1" applyFont="1" applyFill="1" applyBorder="1" applyProtection="1"/>
    <xf numFmtId="164" fontId="8" fillId="37" borderId="66" xfId="28" applyNumberFormat="1" applyFont="1" applyFill="1" applyBorder="1" applyProtection="1"/>
    <xf numFmtId="164" fontId="8" fillId="37" borderId="19" xfId="28" applyNumberFormat="1" applyFont="1" applyFill="1" applyBorder="1" applyProtection="1"/>
    <xf numFmtId="0" fontId="12" fillId="37" borderId="20" xfId="44" applyFont="1" applyFill="1" applyBorder="1" applyProtection="1"/>
    <xf numFmtId="164" fontId="67" fillId="37" borderId="21" xfId="45" applyNumberFormat="1" applyFill="1" applyBorder="1"/>
    <xf numFmtId="164" fontId="67" fillId="37" borderId="0" xfId="45" applyNumberFormat="1" applyFill="1" applyBorder="1"/>
    <xf numFmtId="0" fontId="12" fillId="37" borderId="16" xfId="44" applyFont="1" applyFill="1" applyBorder="1" applyProtection="1"/>
    <xf numFmtId="0" fontId="52" fillId="37" borderId="16" xfId="44" applyFont="1" applyFill="1" applyBorder="1" applyProtection="1"/>
    <xf numFmtId="0" fontId="52" fillId="37" borderId="11" xfId="44" applyFont="1" applyFill="1" applyBorder="1" applyProtection="1"/>
    <xf numFmtId="169" fontId="8" fillId="37" borderId="67" xfId="28" applyNumberFormat="1" applyFont="1" applyFill="1" applyBorder="1" applyProtection="1"/>
    <xf numFmtId="169" fontId="8" fillId="37" borderId="68" xfId="28" applyNumberFormat="1" applyFont="1" applyFill="1" applyBorder="1" applyProtection="1"/>
    <xf numFmtId="164" fontId="8" fillId="37" borderId="11" xfId="28" applyNumberFormat="1" applyFont="1" applyFill="1" applyBorder="1" applyProtection="1"/>
    <xf numFmtId="0" fontId="8" fillId="37" borderId="16" xfId="44" applyFont="1" applyFill="1" applyBorder="1" applyProtection="1"/>
    <xf numFmtId="0" fontId="8" fillId="37" borderId="11" xfId="44" applyFont="1" applyFill="1" applyBorder="1" applyProtection="1"/>
    <xf numFmtId="0" fontId="12" fillId="37" borderId="18" xfId="44" applyFont="1" applyFill="1" applyBorder="1" applyProtection="1"/>
    <xf numFmtId="0" fontId="64" fillId="37" borderId="19" xfId="44" applyFont="1" applyFill="1" applyBorder="1" applyProtection="1"/>
    <xf numFmtId="164" fontId="8" fillId="37" borderId="61" xfId="28" applyNumberFormat="1" applyFont="1" applyFill="1" applyBorder="1" applyProtection="1"/>
    <xf numFmtId="164" fontId="8" fillId="37" borderId="46" xfId="28" applyNumberFormat="1" applyFont="1" applyFill="1" applyBorder="1" applyProtection="1"/>
    <xf numFmtId="164" fontId="8" fillId="37" borderId="69" xfId="28" applyNumberFormat="1" applyFont="1" applyFill="1" applyBorder="1" applyProtection="1"/>
    <xf numFmtId="0" fontId="64" fillId="37" borderId="28" xfId="44" applyFont="1" applyFill="1" applyBorder="1" applyProtection="1"/>
    <xf numFmtId="164" fontId="8" fillId="37" borderId="48" xfId="28" applyNumberFormat="1" applyFont="1" applyFill="1" applyBorder="1" applyProtection="1"/>
    <xf numFmtId="164" fontId="8" fillId="37" borderId="62" xfId="28" applyNumberFormat="1" applyFont="1" applyFill="1" applyBorder="1" applyProtection="1"/>
    <xf numFmtId="164" fontId="8" fillId="37" borderId="70" xfId="28" applyNumberFormat="1" applyFont="1" applyFill="1" applyBorder="1" applyProtection="1"/>
    <xf numFmtId="0" fontId="8" fillId="37" borderId="21" xfId="44" applyFont="1" applyFill="1" applyBorder="1" applyProtection="1"/>
    <xf numFmtId="164" fontId="8" fillId="37" borderId="21" xfId="28" applyNumberFormat="1" applyFont="1" applyFill="1" applyBorder="1" applyProtection="1"/>
    <xf numFmtId="164" fontId="8" fillId="37" borderId="0" xfId="28" applyNumberFormat="1" applyFont="1" applyFill="1" applyBorder="1" applyProtection="1"/>
    <xf numFmtId="164" fontId="8" fillId="37" borderId="17" xfId="28" applyNumberFormat="1" applyFont="1" applyFill="1" applyBorder="1" applyProtection="1"/>
    <xf numFmtId="164" fontId="8" fillId="37" borderId="18" xfId="28" applyNumberFormat="1" applyFont="1" applyFill="1" applyBorder="1" applyProtection="1"/>
    <xf numFmtId="0" fontId="1" fillId="0" borderId="0" xfId="44" applyFont="1" applyProtection="1"/>
    <xf numFmtId="0" fontId="1" fillId="0" borderId="0" xfId="44" applyFont="1" applyFill="1" applyProtection="1"/>
    <xf numFmtId="0" fontId="1" fillId="0" borderId="0" xfId="44" applyFont="1" applyFill="1" applyBorder="1" applyProtection="1"/>
    <xf numFmtId="164" fontId="8" fillId="0" borderId="0" xfId="28" applyNumberFormat="1" applyFont="1" applyFill="1" applyBorder="1" applyProtection="1"/>
    <xf numFmtId="0" fontId="8" fillId="0" borderId="0" xfId="44" applyFont="1" applyFill="1" applyBorder="1" applyAlignment="1" applyProtection="1">
      <alignment horizontal="center"/>
    </xf>
    <xf numFmtId="171" fontId="8" fillId="0" borderId="0" xfId="44" applyNumberFormat="1" applyFont="1" applyBorder="1" applyProtection="1"/>
    <xf numFmtId="171" fontId="8" fillId="0" borderId="0" xfId="0" applyNumberFormat="1" applyFont="1" applyBorder="1"/>
    <xf numFmtId="0" fontId="12" fillId="0" borderId="0" xfId="44" applyFont="1" applyProtection="1"/>
    <xf numFmtId="0" fontId="52" fillId="0" borderId="0" xfId="44" applyFont="1" applyFill="1" applyBorder="1" applyAlignment="1" applyProtection="1">
      <alignment horizontal="center"/>
    </xf>
    <xf numFmtId="0" fontId="12" fillId="0" borderId="14" xfId="44" applyFont="1" applyBorder="1" applyAlignment="1" applyProtection="1">
      <alignment horizontal="center"/>
    </xf>
    <xf numFmtId="0" fontId="12" fillId="0" borderId="13" xfId="44" applyFont="1" applyBorder="1" applyAlignment="1" applyProtection="1">
      <alignment horizontal="center"/>
    </xf>
    <xf numFmtId="0" fontId="8" fillId="0" borderId="18" xfId="44" applyFont="1" applyBorder="1" applyAlignment="1" applyProtection="1">
      <alignment horizontal="center"/>
    </xf>
    <xf numFmtId="0" fontId="8" fillId="0" borderId="19" xfId="44" applyFont="1" applyBorder="1" applyAlignment="1" applyProtection="1">
      <alignment horizontal="center"/>
    </xf>
    <xf numFmtId="0" fontId="12" fillId="0" borderId="60" xfId="44" applyFont="1" applyBorder="1" applyAlignment="1" applyProtection="1">
      <alignment horizontal="center"/>
    </xf>
    <xf numFmtId="0" fontId="24" fillId="0" borderId="18" xfId="0" applyFont="1" applyFill="1" applyBorder="1" applyAlignment="1">
      <alignment horizontal="left" wrapText="1"/>
    </xf>
    <xf numFmtId="0" fontId="22" fillId="0" borderId="22" xfId="0" applyFont="1" applyBorder="1" applyAlignment="1">
      <alignment wrapText="1"/>
    </xf>
    <xf numFmtId="0" fontId="22" fillId="0" borderId="27" xfId="0" applyFont="1" applyBorder="1" applyAlignment="1">
      <alignment wrapText="1"/>
    </xf>
    <xf numFmtId="0" fontId="22" fillId="0" borderId="15" xfId="0" applyFont="1" applyBorder="1" applyAlignment="1">
      <alignment wrapText="1"/>
    </xf>
    <xf numFmtId="0" fontId="20" fillId="0" borderId="22" xfId="0" applyFont="1" applyBorder="1" applyAlignment="1">
      <alignment vertical="top" wrapText="1"/>
    </xf>
    <xf numFmtId="0" fontId="20" fillId="0" borderId="15" xfId="0" applyFont="1" applyBorder="1" applyAlignment="1">
      <alignment vertical="top" wrapText="1"/>
    </xf>
    <xf numFmtId="0" fontId="20" fillId="0" borderId="60" xfId="0" applyFont="1" applyBorder="1" applyAlignment="1">
      <alignment horizontal="center" vertical="top" wrapText="1"/>
    </xf>
    <xf numFmtId="0" fontId="20" fillId="0" borderId="14" xfId="0" applyFont="1" applyBorder="1" applyAlignment="1">
      <alignment horizontal="center" vertical="top" wrapText="1"/>
    </xf>
    <xf numFmtId="0" fontId="20" fillId="0" borderId="13" xfId="0" applyFont="1" applyBorder="1" applyAlignment="1">
      <alignment horizontal="center" vertical="top" wrapText="1"/>
    </xf>
    <xf numFmtId="0" fontId="50" fillId="0" borderId="71" xfId="43" applyFont="1" applyBorder="1" applyAlignment="1">
      <alignment vertical="top" wrapText="1"/>
    </xf>
    <xf numFmtId="0" fontId="50" fillId="0" borderId="72" xfId="43" applyFont="1" applyBorder="1" applyAlignment="1">
      <alignment vertical="top" wrapText="1"/>
    </xf>
    <xf numFmtId="0" fontId="50" fillId="0" borderId="73" xfId="43" applyFont="1" applyBorder="1" applyAlignment="1">
      <alignment vertical="top" wrapText="1"/>
    </xf>
    <xf numFmtId="0" fontId="9" fillId="0" borderId="0" xfId="43" applyFont="1" applyAlignment="1">
      <alignment vertical="top" wrapText="1"/>
    </xf>
    <xf numFmtId="0" fontId="44" fillId="0" borderId="0" xfId="43" applyFont="1" applyAlignment="1">
      <alignment vertical="top" wrapText="1"/>
    </xf>
    <xf numFmtId="0" fontId="45" fillId="0" borderId="0" xfId="43" applyFont="1" applyAlignment="1">
      <alignment vertical="top" wrapText="1"/>
    </xf>
    <xf numFmtId="0" fontId="8" fillId="0" borderId="0" xfId="43" applyAlignment="1">
      <alignment wrapText="1"/>
    </xf>
    <xf numFmtId="0" fontId="51" fillId="0" borderId="0" xfId="43" applyFont="1" applyAlignment="1">
      <alignment wrapText="1"/>
    </xf>
    <xf numFmtId="0" fontId="52" fillId="0" borderId="0" xfId="43" applyFont="1" applyAlignment="1"/>
    <xf numFmtId="0" fontId="46" fillId="0" borderId="74" xfId="43" applyFont="1" applyBorder="1" applyAlignment="1">
      <alignment horizontal="center" vertical="top" wrapText="1"/>
    </xf>
    <xf numFmtId="0" fontId="46" fillId="0" borderId="56" xfId="43" applyFont="1" applyBorder="1" applyAlignment="1">
      <alignment horizontal="center" vertical="top" wrapText="1"/>
    </xf>
    <xf numFmtId="0" fontId="46" fillId="0" borderId="57" xfId="43" applyFont="1" applyBorder="1" applyAlignment="1">
      <alignment horizontal="center" vertical="top" wrapText="1"/>
    </xf>
    <xf numFmtId="9" fontId="49" fillId="0" borderId="60" xfId="43" applyNumberFormat="1" applyFont="1" applyBorder="1" applyAlignment="1">
      <alignment horizontal="center" wrapText="1"/>
    </xf>
    <xf numFmtId="9" fontId="49" fillId="0" borderId="13" xfId="43" applyNumberFormat="1" applyFont="1" applyBorder="1" applyAlignment="1">
      <alignment horizontal="center" wrapText="1"/>
    </xf>
    <xf numFmtId="0" fontId="69" fillId="0" borderId="18" xfId="0" applyFont="1" applyBorder="1" applyAlignment="1">
      <alignment wrapText="1"/>
    </xf>
    <xf numFmtId="0" fontId="69" fillId="0" borderId="0" xfId="0" applyFont="1" applyBorder="1" applyAlignment="1">
      <alignment wrapText="1"/>
    </xf>
    <xf numFmtId="0" fontId="69" fillId="0" borderId="16" xfId="0" applyFont="1" applyBorder="1" applyAlignment="1">
      <alignment wrapText="1"/>
    </xf>
    <xf numFmtId="0" fontId="69" fillId="31" borderId="18" xfId="0" applyFont="1" applyFill="1" applyBorder="1" applyAlignment="1">
      <alignment horizontal="center" wrapText="1"/>
    </xf>
    <xf numFmtId="0" fontId="69" fillId="31" borderId="0" xfId="0" applyFont="1" applyFill="1" applyBorder="1" applyAlignment="1">
      <alignment horizontal="center" wrapText="1"/>
    </xf>
    <xf numFmtId="0" fontId="69" fillId="31" borderId="16" xfId="0" applyFont="1" applyFill="1" applyBorder="1" applyAlignment="1">
      <alignment horizontal="center" wrapText="1"/>
    </xf>
    <xf numFmtId="0" fontId="69" fillId="31" borderId="18" xfId="0" applyFont="1" applyFill="1" applyBorder="1" applyAlignment="1">
      <alignment wrapText="1"/>
    </xf>
    <xf numFmtId="0" fontId="69" fillId="31" borderId="0" xfId="0" applyFont="1" applyFill="1" applyBorder="1" applyAlignment="1">
      <alignment wrapText="1"/>
    </xf>
    <xf numFmtId="0" fontId="69" fillId="31" borderId="16" xfId="0" applyFont="1" applyFill="1" applyBorder="1" applyAlignment="1">
      <alignment wrapText="1"/>
    </xf>
    <xf numFmtId="0" fontId="12" fillId="0" borderId="0" xfId="44" applyFont="1" applyAlignment="1" applyProtection="1">
      <alignment horizontal="right"/>
    </xf>
    <xf numFmtId="0" fontId="0" fillId="35" borderId="0" xfId="0" applyFill="1"/>
  </cellXfs>
  <cellStyles count="5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urrency" xfId="29" builtinId="4"/>
    <cellStyle name="Currency_E-1 aka TA-8.1 DONE" xfId="30"/>
    <cellStyle name="Explanatory Text" xfId="31" builtinId="53" customBuiltin="1"/>
    <cellStyle name="Good" xfId="32" builtinId="26" customBuiltin="1"/>
    <cellStyle name="header" xfId="33"/>
    <cellStyle name="Heading 1" xfId="34" builtinId="16" customBuiltin="1"/>
    <cellStyle name="Heading 2" xfId="35" builtinId="17" customBuiltin="1"/>
    <cellStyle name="Heading 3" xfId="36" builtinId="18" customBuiltin="1"/>
    <cellStyle name="Heading 4" xfId="37" builtinId="19" customBuiltin="1"/>
    <cellStyle name="Hyperlink" xfId="38" builtinId="8"/>
    <cellStyle name="Input" xfId="39" builtinId="20" customBuiltin="1"/>
    <cellStyle name="Linked Cell" xfId="40" builtinId="24" customBuiltin="1"/>
    <cellStyle name="Neutral" xfId="41" builtinId="28" customBuiltin="1"/>
    <cellStyle name="no dec" xfId="42"/>
    <cellStyle name="Normal" xfId="0" builtinId="0"/>
    <cellStyle name="Normal 2" xfId="43"/>
    <cellStyle name="Normal_E-1" xfId="44"/>
    <cellStyle name="Normal_ERT Summary" xfId="45"/>
    <cellStyle name="Normal_Sheet3" xfId="46"/>
    <cellStyle name="Note" xfId="47" builtinId="10" customBuiltin="1"/>
    <cellStyle name="Output" xfId="48" builtinId="21" customBuiltin="1"/>
    <cellStyle name="Percent" xfId="49" builtinId="5"/>
    <cellStyle name="Title" xfId="50" builtinId="15" customBuiltin="1"/>
    <cellStyle name="Total" xfId="51" builtinId="25" customBuiltin="1"/>
    <cellStyle name="Warning Text" xfId="52"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PG&amp;E </a:t>
            </a:r>
          </a:p>
        </c:rich>
      </c:tx>
      <c:layout>
        <c:manualLayout>
          <c:xMode val="edge"/>
          <c:yMode val="edge"/>
          <c:x val="0.74156644957690543"/>
          <c:y val="0.18289117706440541"/>
        </c:manualLayout>
      </c:layout>
      <c:overlay val="1"/>
      <c:spPr>
        <a:noFill/>
        <a:ln w="25400">
          <a:noFill/>
        </a:ln>
      </c:spPr>
    </c:title>
    <c:plotArea>
      <c:layout>
        <c:manualLayout>
          <c:layoutTarget val="inner"/>
          <c:xMode val="edge"/>
          <c:yMode val="edge"/>
          <c:x val="0.11198428290766209"/>
          <c:y val="7.6923076923076927E-2"/>
          <c:w val="0.58546168958742439"/>
          <c:h val="0.83516483516483564"/>
        </c:manualLayout>
      </c:layout>
      <c:barChart>
        <c:barDir val="col"/>
        <c:grouping val="clustered"/>
        <c:ser>
          <c:idx val="0"/>
          <c:order val="0"/>
          <c:tx>
            <c:strRef>
              <c:f>'04-05 EE Tables'!$A$5</c:f>
              <c:strCache>
                <c:ptCount val="1"/>
                <c:pt idx="0">
                  <c:v>GWh-Annual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Tables'!$B$5</c:f>
              <c:numCache>
                <c:formatCode>#,##0</c:formatCode>
                <c:ptCount val="1"/>
                <c:pt idx="0">
                  <c:v>998.17060950105031</c:v>
                </c:pt>
              </c:numCache>
            </c:numRef>
          </c:val>
        </c:ser>
        <c:ser>
          <c:idx val="1"/>
          <c:order val="1"/>
          <c:tx>
            <c:strRef>
              <c:f>'04-05 EE Tables'!$A$8</c:f>
              <c:strCache>
                <c:ptCount val="1"/>
                <c:pt idx="0">
                  <c:v>Total Cumulative Savings (GWH/yr)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Tables'!$B$8</c:f>
              <c:numCache>
                <c:formatCode>#,##0</c:formatCode>
                <c:ptCount val="1"/>
                <c:pt idx="0">
                  <c:v>1487</c:v>
                </c:pt>
              </c:numCache>
            </c:numRef>
          </c:val>
        </c:ser>
        <c:gapWidth val="51"/>
        <c:axId val="79791232"/>
        <c:axId val="79792768"/>
      </c:barChart>
      <c:catAx>
        <c:axId val="79791232"/>
        <c:scaling>
          <c:orientation val="minMax"/>
        </c:scaling>
        <c:delete val="1"/>
        <c:axPos val="b"/>
        <c:tickLblPos val="none"/>
        <c:crossAx val="79792768"/>
        <c:crosses val="autoZero"/>
        <c:auto val="1"/>
        <c:lblAlgn val="ctr"/>
        <c:lblOffset val="100"/>
      </c:catAx>
      <c:valAx>
        <c:axId val="79792768"/>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79791232"/>
        <c:crosses val="autoZero"/>
        <c:crossBetween val="between"/>
      </c:valAx>
    </c:plotArea>
    <c:legend>
      <c:legendPos val="r"/>
      <c:layout>
        <c:manualLayout>
          <c:xMode val="edge"/>
          <c:yMode val="edge"/>
          <c:x val="0.7210216110019646"/>
          <c:y val="0.31318681318681479"/>
          <c:w val="0.25736738703339884"/>
          <c:h val="0.37362637362637457"/>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44" l="0.70000000000000062" r="0.70000000000000062" t="0.750000000000002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SCE </a:t>
            </a:r>
          </a:p>
        </c:rich>
      </c:tx>
      <c:layout>
        <c:manualLayout>
          <c:xMode val="edge"/>
          <c:yMode val="edge"/>
          <c:x val="0.74156634266870491"/>
          <c:y val="0.18289052578105155"/>
        </c:manualLayout>
      </c:layout>
      <c:overlay val="1"/>
      <c:spPr>
        <a:noFill/>
        <a:ln w="25400">
          <a:noFill/>
        </a:ln>
      </c:spPr>
    </c:title>
    <c:plotArea>
      <c:layout>
        <c:manualLayout>
          <c:layoutTarget val="inner"/>
          <c:xMode val="edge"/>
          <c:yMode val="edge"/>
          <c:x val="0.10439560439560452"/>
          <c:y val="9.0322580645161188E-2"/>
          <c:w val="0.55860805860806073"/>
          <c:h val="0.80645161290322664"/>
        </c:manualLayout>
      </c:layout>
      <c:barChart>
        <c:barDir val="col"/>
        <c:grouping val="clustered"/>
        <c:ser>
          <c:idx val="0"/>
          <c:order val="0"/>
          <c:tx>
            <c:strRef>
              <c:f>'[2]04-05 EE Tables'!$A$16</c:f>
              <c:strCache>
                <c:ptCount val="1"/>
                <c:pt idx="0">
                  <c:v>GWh</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Tables'!$B$16</c:f>
              <c:numCache>
                <c:formatCode>General</c:formatCode>
                <c:ptCount val="1"/>
                <c:pt idx="0">
                  <c:v>1497.9157626778292</c:v>
                </c:pt>
              </c:numCache>
            </c:numRef>
          </c:val>
        </c:ser>
        <c:ser>
          <c:idx val="1"/>
          <c:order val="1"/>
          <c:tx>
            <c:strRef>
              <c:f>'[2]04-05 EE Tables'!$A$19</c:f>
              <c:strCache>
                <c:ptCount val="1"/>
                <c:pt idx="0">
                  <c:v>Cumulative Savings (GWH/yr)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Tables'!$B$19</c:f>
              <c:numCache>
                <c:formatCode>General</c:formatCode>
                <c:ptCount val="1"/>
                <c:pt idx="0">
                  <c:v>1653</c:v>
                </c:pt>
              </c:numCache>
            </c:numRef>
          </c:val>
        </c:ser>
        <c:gapWidth val="51"/>
        <c:axId val="100374784"/>
        <c:axId val="100388864"/>
      </c:barChart>
      <c:catAx>
        <c:axId val="100374784"/>
        <c:scaling>
          <c:orientation val="minMax"/>
        </c:scaling>
        <c:delete val="1"/>
        <c:axPos val="b"/>
        <c:tickLblPos val="none"/>
        <c:crossAx val="100388864"/>
        <c:crosses val="autoZero"/>
        <c:auto val="1"/>
        <c:lblAlgn val="ctr"/>
        <c:lblOffset val="100"/>
      </c:catAx>
      <c:valAx>
        <c:axId val="100388864"/>
        <c:scaling>
          <c:orientation val="minMax"/>
          <c:max val="2000"/>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00374784"/>
        <c:crosses val="autoZero"/>
        <c:crossBetween val="between"/>
      </c:valAx>
    </c:plotArea>
    <c:legend>
      <c:legendPos val="r"/>
      <c:txPr>
        <a:bodyPr/>
        <a:lstStyle/>
        <a:p>
          <a:pPr>
            <a:defRPr sz="67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22" l="0.70000000000000062" r="0.70000000000000062" t="0.7500000000000022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SDG&amp;E </a:t>
            </a:r>
          </a:p>
        </c:rich>
      </c:tx>
      <c:layout>
        <c:manualLayout>
          <c:xMode val="edge"/>
          <c:yMode val="edge"/>
          <c:x val="0.74156638112543416"/>
          <c:y val="0.18289109022662528"/>
        </c:manualLayout>
      </c:layout>
      <c:overlay val="1"/>
      <c:spPr>
        <a:noFill/>
        <a:ln w="25400">
          <a:noFill/>
        </a:ln>
      </c:spPr>
    </c:title>
    <c:plotArea>
      <c:layout>
        <c:manualLayout>
          <c:layoutTarget val="inner"/>
          <c:xMode val="edge"/>
          <c:yMode val="edge"/>
          <c:x val="0.10329670329670364"/>
          <c:y val="7.5268817204301092E-2"/>
          <c:w val="0.53846153846153844"/>
          <c:h val="0.83870967741935765"/>
        </c:manualLayout>
      </c:layout>
      <c:barChart>
        <c:barDir val="col"/>
        <c:grouping val="clustered"/>
        <c:ser>
          <c:idx val="0"/>
          <c:order val="0"/>
          <c:tx>
            <c:strRef>
              <c:f>'[2]04-05 EE Tables'!$A$25</c:f>
              <c:strCache>
                <c:ptCount val="1"/>
                <c:pt idx="0">
                  <c:v>GWh</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Tables'!$B$25</c:f>
              <c:numCache>
                <c:formatCode>General</c:formatCode>
                <c:ptCount val="1"/>
                <c:pt idx="0">
                  <c:v>342.58511520167167</c:v>
                </c:pt>
              </c:numCache>
            </c:numRef>
          </c:val>
        </c:ser>
        <c:ser>
          <c:idx val="1"/>
          <c:order val="1"/>
          <c:tx>
            <c:strRef>
              <c:f>'[2]04-05 EE Tables'!$A$28</c:f>
              <c:strCache>
                <c:ptCount val="1"/>
                <c:pt idx="0">
                  <c:v>Cumulative Savings (GWH/yr)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Tables'!$B$28</c:f>
              <c:numCache>
                <c:formatCode>General</c:formatCode>
                <c:ptCount val="1"/>
                <c:pt idx="0">
                  <c:v>536.79999999999995</c:v>
                </c:pt>
              </c:numCache>
            </c:numRef>
          </c:val>
        </c:ser>
        <c:gapWidth val="51"/>
        <c:axId val="100398208"/>
        <c:axId val="100399744"/>
      </c:barChart>
      <c:catAx>
        <c:axId val="100398208"/>
        <c:scaling>
          <c:orientation val="minMax"/>
        </c:scaling>
        <c:delete val="1"/>
        <c:axPos val="b"/>
        <c:tickLblPos val="none"/>
        <c:crossAx val="100399744"/>
        <c:crosses val="autoZero"/>
        <c:auto val="1"/>
        <c:lblAlgn val="ctr"/>
        <c:lblOffset val="100"/>
      </c:catAx>
      <c:valAx>
        <c:axId val="100399744"/>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00398208"/>
        <c:crosses val="autoZero"/>
        <c:crossBetween val="between"/>
      </c:valAx>
    </c:plotArea>
    <c:legend>
      <c:legendPos val="r"/>
      <c:txPr>
        <a:bodyPr/>
        <a:lstStyle/>
        <a:p>
          <a:pPr>
            <a:defRPr sz="67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 l="0.70000000000000062" r="0.70000000000000062" t="0.750000000000002"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SDG&amp;E </a:t>
            </a:r>
          </a:p>
        </c:rich>
      </c:tx>
      <c:layout>
        <c:manualLayout>
          <c:xMode val="edge"/>
          <c:yMode val="edge"/>
          <c:x val="0.72001635842031353"/>
          <c:y val="5.8667249927092463E-2"/>
        </c:manualLayout>
      </c:layout>
      <c:overlay val="1"/>
      <c:spPr>
        <a:noFill/>
        <a:ln w="25400">
          <a:noFill/>
        </a:ln>
      </c:spPr>
    </c:title>
    <c:plotArea>
      <c:layout>
        <c:manualLayout>
          <c:layoutTarget val="inner"/>
          <c:xMode val="edge"/>
          <c:yMode val="edge"/>
          <c:x val="9.3023255813953501E-2"/>
          <c:y val="9.7222222222222224E-2"/>
          <c:w val="0.53023255813953452"/>
          <c:h val="0.79166666666666652"/>
        </c:manualLayout>
      </c:layout>
      <c:barChart>
        <c:barDir val="col"/>
        <c:grouping val="clustered"/>
        <c:ser>
          <c:idx val="0"/>
          <c:order val="0"/>
          <c:tx>
            <c:strRef>
              <c:f>'[2]04-05 EE Tables'!$A$38</c:f>
              <c:strCache>
                <c:ptCount val="1"/>
                <c:pt idx="0">
                  <c:v>MMTherm</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Tables'!$B$38</c:f>
              <c:numCache>
                <c:formatCode>General</c:formatCode>
                <c:ptCount val="1"/>
                <c:pt idx="0">
                  <c:v>11.108797321145177</c:v>
                </c:pt>
              </c:numCache>
            </c:numRef>
          </c:val>
        </c:ser>
        <c:ser>
          <c:idx val="1"/>
          <c:order val="1"/>
          <c:tx>
            <c:strRef>
              <c:f>'[2]04-05 EE Tables'!$A$39</c:f>
              <c:strCache>
                <c:ptCount val="1"/>
                <c:pt idx="0">
                  <c:v>Total Cumulative Natural Gas Savings (MMTh/yr)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Tables'!$B$39</c:f>
              <c:numCache>
                <c:formatCode>General</c:formatCode>
                <c:ptCount val="1"/>
                <c:pt idx="0">
                  <c:v>19.3</c:v>
                </c:pt>
              </c:numCache>
            </c:numRef>
          </c:val>
        </c:ser>
        <c:gapWidth val="51"/>
        <c:axId val="100831232"/>
        <c:axId val="100832768"/>
      </c:barChart>
      <c:catAx>
        <c:axId val="100831232"/>
        <c:scaling>
          <c:orientation val="minMax"/>
        </c:scaling>
        <c:delete val="1"/>
        <c:axPos val="b"/>
        <c:tickLblPos val="none"/>
        <c:crossAx val="100832768"/>
        <c:crosses val="autoZero"/>
        <c:auto val="1"/>
        <c:lblAlgn val="ctr"/>
        <c:lblOffset val="100"/>
      </c:catAx>
      <c:valAx>
        <c:axId val="100832768"/>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00831232"/>
        <c:crosses val="autoZero"/>
        <c:crossBetween val="between"/>
      </c:valAx>
    </c:plotArea>
    <c:legend>
      <c:legendPos val="r"/>
      <c:layout>
        <c:manualLayout>
          <c:xMode val="edge"/>
          <c:yMode val="edge"/>
          <c:x val="0.65861270829518592"/>
          <c:y val="0.23497302420530769"/>
          <c:w val="0.32173130684245882"/>
          <c:h val="0.55489792942548999"/>
        </c:manualLayout>
      </c:layout>
      <c:txPr>
        <a:bodyPr/>
        <a:lstStyle/>
        <a:p>
          <a:pPr>
            <a:defRPr sz="67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22" l="0.70000000000000062" r="0.70000000000000062" t="0.750000000000002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SCE </a:t>
            </a:r>
          </a:p>
        </c:rich>
      </c:tx>
      <c:layout>
        <c:manualLayout>
          <c:xMode val="edge"/>
          <c:yMode val="edge"/>
          <c:x val="0.74156638112543416"/>
          <c:y val="0.18289054777243813"/>
        </c:manualLayout>
      </c:layout>
      <c:overlay val="1"/>
      <c:spPr>
        <a:noFill/>
        <a:ln w="25400">
          <a:noFill/>
        </a:ln>
      </c:spPr>
    </c:title>
    <c:plotArea>
      <c:layout>
        <c:manualLayout>
          <c:layoutTarget val="inner"/>
          <c:xMode val="edge"/>
          <c:yMode val="edge"/>
          <c:x val="0.12527472527472489"/>
          <c:y val="9.0909090909091064E-2"/>
          <c:w val="0.49010989010989114"/>
          <c:h val="0.80519480519480691"/>
        </c:manualLayout>
      </c:layout>
      <c:barChart>
        <c:barDir val="col"/>
        <c:grouping val="clustered"/>
        <c:ser>
          <c:idx val="0"/>
          <c:order val="0"/>
          <c:tx>
            <c:strRef>
              <c:f>'04-05 EE Tables'!$A$16</c:f>
              <c:strCache>
                <c:ptCount val="1"/>
                <c:pt idx="0">
                  <c:v>GWh</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Tables'!$B$16</c:f>
              <c:numCache>
                <c:formatCode>#,##0</c:formatCode>
                <c:ptCount val="1"/>
                <c:pt idx="0">
                  <c:v>1497.9157626778292</c:v>
                </c:pt>
              </c:numCache>
            </c:numRef>
          </c:val>
        </c:ser>
        <c:ser>
          <c:idx val="1"/>
          <c:order val="1"/>
          <c:tx>
            <c:strRef>
              <c:f>'04-05 EE Tables'!$A$19</c:f>
              <c:strCache>
                <c:ptCount val="1"/>
                <c:pt idx="0">
                  <c:v>Cumulative Savings (GWH/yr)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Tables'!$B$19</c:f>
              <c:numCache>
                <c:formatCode>#,##0</c:formatCode>
                <c:ptCount val="1"/>
                <c:pt idx="0">
                  <c:v>1653</c:v>
                </c:pt>
              </c:numCache>
            </c:numRef>
          </c:val>
        </c:ser>
        <c:gapWidth val="51"/>
        <c:axId val="79810560"/>
        <c:axId val="79812096"/>
      </c:barChart>
      <c:catAx>
        <c:axId val="79810560"/>
        <c:scaling>
          <c:orientation val="minMax"/>
        </c:scaling>
        <c:delete val="1"/>
        <c:axPos val="b"/>
        <c:tickLblPos val="none"/>
        <c:crossAx val="79812096"/>
        <c:crosses val="autoZero"/>
        <c:auto val="1"/>
        <c:lblAlgn val="ctr"/>
        <c:lblOffset val="100"/>
      </c:catAx>
      <c:valAx>
        <c:axId val="79812096"/>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79810560"/>
        <c:crosses val="autoZero"/>
        <c:crossBetween val="between"/>
      </c:valAx>
    </c:plotArea>
    <c:legend>
      <c:legendPos val="r"/>
      <c:layout>
        <c:manualLayout>
          <c:xMode val="edge"/>
          <c:yMode val="edge"/>
          <c:x val="0.74285714285714288"/>
          <c:y val="0.27922146095374517"/>
          <c:w val="0.23076923076923148"/>
          <c:h val="0.44155980502437192"/>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22" l="0.70000000000000062" r="0.70000000000000062" t="0.75000000000000222"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SDG&amp;E </a:t>
            </a:r>
          </a:p>
        </c:rich>
      </c:tx>
      <c:layout>
        <c:manualLayout>
          <c:xMode val="edge"/>
          <c:yMode val="edge"/>
          <c:x val="0.74156638112543416"/>
          <c:y val="0.18289109022662528"/>
        </c:manualLayout>
      </c:layout>
      <c:overlay val="1"/>
      <c:spPr>
        <a:noFill/>
        <a:ln w="25400">
          <a:noFill/>
        </a:ln>
      </c:spPr>
    </c:title>
    <c:plotArea>
      <c:layout>
        <c:manualLayout>
          <c:layoutTarget val="inner"/>
          <c:xMode val="edge"/>
          <c:yMode val="edge"/>
          <c:x val="0.10329670329670364"/>
          <c:y val="7.5268817204301092E-2"/>
          <c:w val="0.51208791208791149"/>
          <c:h val="0.83870967741935765"/>
        </c:manualLayout>
      </c:layout>
      <c:barChart>
        <c:barDir val="col"/>
        <c:grouping val="clustered"/>
        <c:ser>
          <c:idx val="0"/>
          <c:order val="0"/>
          <c:tx>
            <c:strRef>
              <c:f>'04-05 EE Tables'!$A$25</c:f>
              <c:strCache>
                <c:ptCount val="1"/>
                <c:pt idx="0">
                  <c:v>GWh</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Tables'!$B$25</c:f>
              <c:numCache>
                <c:formatCode>#,##0.0</c:formatCode>
                <c:ptCount val="1"/>
                <c:pt idx="0">
                  <c:v>342.58511520167167</c:v>
                </c:pt>
              </c:numCache>
            </c:numRef>
          </c:val>
        </c:ser>
        <c:ser>
          <c:idx val="1"/>
          <c:order val="1"/>
          <c:tx>
            <c:strRef>
              <c:f>'04-05 EE Tables'!$A$28</c:f>
              <c:strCache>
                <c:ptCount val="1"/>
                <c:pt idx="0">
                  <c:v>Cumulative Savings (GWH/yr)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Tables'!$B$28</c:f>
              <c:numCache>
                <c:formatCode>General</c:formatCode>
                <c:ptCount val="1"/>
                <c:pt idx="0">
                  <c:v>536.79999999999995</c:v>
                </c:pt>
              </c:numCache>
            </c:numRef>
          </c:val>
        </c:ser>
        <c:gapWidth val="51"/>
        <c:axId val="79932032"/>
        <c:axId val="80093568"/>
      </c:barChart>
      <c:catAx>
        <c:axId val="79932032"/>
        <c:scaling>
          <c:orientation val="minMax"/>
        </c:scaling>
        <c:delete val="1"/>
        <c:axPos val="b"/>
        <c:tickLblPos val="none"/>
        <c:crossAx val="80093568"/>
        <c:crosses val="autoZero"/>
        <c:auto val="1"/>
        <c:lblAlgn val="ctr"/>
        <c:lblOffset val="100"/>
      </c:catAx>
      <c:valAx>
        <c:axId val="80093568"/>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79932032"/>
        <c:crosses val="autoZero"/>
        <c:crossBetween val="between"/>
      </c:valAx>
    </c:plotArea>
    <c:legend>
      <c:legendPos val="r"/>
      <c:layout>
        <c:manualLayout>
          <c:xMode val="edge"/>
          <c:yMode val="edge"/>
          <c:x val="0.74285714285714288"/>
          <c:y val="0.31720430107526987"/>
          <c:w val="0.23076923076923148"/>
          <c:h val="0.36559139784946354"/>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 l="0.70000000000000062" r="0.70000000000000062" t="0.75000000000000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SDG&amp;E </a:t>
            </a:r>
          </a:p>
        </c:rich>
      </c:tx>
      <c:layout>
        <c:manualLayout>
          <c:xMode val="edge"/>
          <c:yMode val="edge"/>
          <c:x val="0.72001635842031353"/>
          <c:y val="5.8667449177548493E-2"/>
        </c:manualLayout>
      </c:layout>
      <c:overlay val="1"/>
      <c:spPr>
        <a:noFill/>
        <a:ln w="25400">
          <a:noFill/>
        </a:ln>
      </c:spPr>
    </c:title>
    <c:plotArea>
      <c:layout>
        <c:manualLayout>
          <c:layoutTarget val="inner"/>
          <c:xMode val="edge"/>
          <c:yMode val="edge"/>
          <c:x val="9.3023255813953501E-2"/>
          <c:y val="8.6956521739130543E-2"/>
          <c:w val="0.51162790697674421"/>
          <c:h val="0.81366459627329346"/>
        </c:manualLayout>
      </c:layout>
      <c:barChart>
        <c:barDir val="col"/>
        <c:grouping val="clustered"/>
        <c:ser>
          <c:idx val="0"/>
          <c:order val="0"/>
          <c:tx>
            <c:strRef>
              <c:f>'04-05 EE Tables'!$A$38</c:f>
              <c:strCache>
                <c:ptCount val="1"/>
                <c:pt idx="0">
                  <c:v>MMTherm</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Tables'!$B$38</c:f>
              <c:numCache>
                <c:formatCode>#,##0.0</c:formatCode>
                <c:ptCount val="1"/>
                <c:pt idx="0">
                  <c:v>11.108797321145177</c:v>
                </c:pt>
              </c:numCache>
            </c:numRef>
          </c:val>
        </c:ser>
        <c:ser>
          <c:idx val="1"/>
          <c:order val="1"/>
          <c:tx>
            <c:strRef>
              <c:f>'04-05 EE Tables'!$A$39</c:f>
              <c:strCache>
                <c:ptCount val="1"/>
                <c:pt idx="0">
                  <c:v>Total Cumulative Natural Gas Savings (MMTh/yr)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Tables'!$B$39</c:f>
              <c:numCache>
                <c:formatCode>General</c:formatCode>
                <c:ptCount val="1"/>
                <c:pt idx="0">
                  <c:v>19.3</c:v>
                </c:pt>
              </c:numCache>
            </c:numRef>
          </c:val>
        </c:ser>
        <c:gapWidth val="51"/>
        <c:axId val="80152064"/>
        <c:axId val="80153600"/>
      </c:barChart>
      <c:catAx>
        <c:axId val="80152064"/>
        <c:scaling>
          <c:orientation val="minMax"/>
        </c:scaling>
        <c:delete val="1"/>
        <c:axPos val="b"/>
        <c:tickLblPos val="none"/>
        <c:crossAx val="80153600"/>
        <c:crosses val="autoZero"/>
        <c:auto val="1"/>
        <c:lblAlgn val="ctr"/>
        <c:lblOffset val="100"/>
      </c:catAx>
      <c:valAx>
        <c:axId val="80153600"/>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80152064"/>
        <c:crosses val="autoZero"/>
        <c:crossBetween val="between"/>
      </c:valAx>
    </c:plotArea>
    <c:legend>
      <c:legendPos val="r"/>
      <c:layout>
        <c:manualLayout>
          <c:xMode val="edge"/>
          <c:yMode val="edge"/>
          <c:x val="0.66744259293169761"/>
          <c:y val="0.22981366459627364"/>
          <c:w val="0.30465140694622472"/>
          <c:h val="0.55279503105590211"/>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22" l="0.70000000000000062" r="0.70000000000000062" t="0.7500000000000022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PG&amp;E </a:t>
            </a:r>
          </a:p>
        </c:rich>
      </c:tx>
      <c:layout>
        <c:manualLayout>
          <c:xMode val="edge"/>
          <c:yMode val="edge"/>
          <c:x val="0.74156644957690543"/>
          <c:y val="0.18289117706440541"/>
        </c:manualLayout>
      </c:layout>
      <c:overlay val="1"/>
      <c:spPr>
        <a:noFill/>
        <a:ln w="25400">
          <a:noFill/>
        </a:ln>
      </c:spPr>
    </c:title>
    <c:plotArea>
      <c:layout>
        <c:manualLayout>
          <c:layoutTarget val="inner"/>
          <c:xMode val="edge"/>
          <c:yMode val="edge"/>
          <c:x val="0.11198428290766209"/>
          <c:y val="7.6923076923076927E-2"/>
          <c:w val="0.58546168958742439"/>
          <c:h val="0.83516483516483564"/>
        </c:manualLayout>
      </c:layout>
      <c:barChart>
        <c:barDir val="col"/>
        <c:grouping val="clustered"/>
        <c:ser>
          <c:idx val="0"/>
          <c:order val="0"/>
          <c:tx>
            <c:v>GWh-Annual</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907.03620058744946</c:v>
              </c:pt>
            </c:numLit>
          </c:val>
        </c:ser>
        <c:ser>
          <c:idx val="1"/>
          <c:order val="1"/>
          <c:tx>
            <c:v>Total Cumulative Savings (GWH/yr) Goal</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1487</c:v>
              </c:pt>
            </c:numLit>
          </c:val>
        </c:ser>
        <c:gapWidth val="51"/>
        <c:axId val="80191872"/>
        <c:axId val="80193408"/>
      </c:barChart>
      <c:catAx>
        <c:axId val="80191872"/>
        <c:scaling>
          <c:orientation val="minMax"/>
        </c:scaling>
        <c:delete val="1"/>
        <c:axPos val="b"/>
        <c:tickLblPos val="none"/>
        <c:crossAx val="80193408"/>
        <c:crosses val="autoZero"/>
        <c:auto val="1"/>
        <c:lblAlgn val="ctr"/>
        <c:lblOffset val="100"/>
      </c:catAx>
      <c:valAx>
        <c:axId val="80193408"/>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80191872"/>
        <c:crosses val="autoZero"/>
        <c:crossBetween val="between"/>
      </c:valAx>
    </c:plotArea>
    <c:legend>
      <c:legendPos val="r"/>
      <c:layout>
        <c:manualLayout>
          <c:xMode val="edge"/>
          <c:yMode val="edge"/>
          <c:x val="0.7210216110019646"/>
          <c:y val="0.31318681318681479"/>
          <c:w val="0.25736738703339884"/>
          <c:h val="0.37362637362637457"/>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44" l="0.70000000000000062" r="0.70000000000000062" t="0.75000000000000244"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SCE </a:t>
            </a:r>
          </a:p>
        </c:rich>
      </c:tx>
      <c:layout>
        <c:manualLayout>
          <c:xMode val="edge"/>
          <c:yMode val="edge"/>
          <c:x val="0.74156638112543416"/>
          <c:y val="0.18289054777243813"/>
        </c:manualLayout>
      </c:layout>
      <c:overlay val="1"/>
      <c:spPr>
        <a:noFill/>
        <a:ln w="25400">
          <a:noFill/>
        </a:ln>
      </c:spPr>
    </c:title>
    <c:plotArea>
      <c:layout>
        <c:manualLayout>
          <c:layoutTarget val="inner"/>
          <c:xMode val="edge"/>
          <c:yMode val="edge"/>
          <c:x val="0.12527472527472489"/>
          <c:y val="9.0909090909091064E-2"/>
          <c:w val="0.49010989010989114"/>
          <c:h val="0.80519480519480691"/>
        </c:manualLayout>
      </c:layout>
      <c:barChart>
        <c:barDir val="col"/>
        <c:grouping val="clustered"/>
        <c:ser>
          <c:idx val="0"/>
          <c:order val="0"/>
          <c:tx>
            <c:v>GWh</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1079.5409031226959</c:v>
              </c:pt>
            </c:numLit>
          </c:val>
        </c:ser>
        <c:ser>
          <c:idx val="1"/>
          <c:order val="1"/>
          <c:tx>
            <c:v>Cumulative Savings (GWH/yr) Goal</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1653</c:v>
              </c:pt>
            </c:numLit>
          </c:val>
        </c:ser>
        <c:gapWidth val="51"/>
        <c:axId val="82140160"/>
        <c:axId val="82141952"/>
      </c:barChart>
      <c:catAx>
        <c:axId val="82140160"/>
        <c:scaling>
          <c:orientation val="minMax"/>
        </c:scaling>
        <c:delete val="1"/>
        <c:axPos val="b"/>
        <c:tickLblPos val="none"/>
        <c:crossAx val="82141952"/>
        <c:crosses val="autoZero"/>
        <c:auto val="1"/>
        <c:lblAlgn val="ctr"/>
        <c:lblOffset val="100"/>
      </c:catAx>
      <c:valAx>
        <c:axId val="82141952"/>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82140160"/>
        <c:crosses val="autoZero"/>
        <c:crossBetween val="between"/>
      </c:valAx>
    </c:plotArea>
    <c:legend>
      <c:legendPos val="r"/>
      <c:layout>
        <c:manualLayout>
          <c:xMode val="edge"/>
          <c:yMode val="edge"/>
          <c:x val="0.74285714285714288"/>
          <c:y val="0.27922146095374517"/>
          <c:w val="0.23076923076923148"/>
          <c:h val="0.44155980502437192"/>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22" l="0.70000000000000062" r="0.70000000000000062" t="0.7500000000000022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SDG&amp;E </a:t>
            </a:r>
          </a:p>
        </c:rich>
      </c:tx>
      <c:layout>
        <c:manualLayout>
          <c:xMode val="edge"/>
          <c:yMode val="edge"/>
          <c:x val="0.74156638112543416"/>
          <c:y val="0.18289109022662528"/>
        </c:manualLayout>
      </c:layout>
      <c:overlay val="1"/>
      <c:spPr>
        <a:noFill/>
        <a:ln w="25400">
          <a:noFill/>
        </a:ln>
      </c:spPr>
    </c:title>
    <c:plotArea>
      <c:layout>
        <c:manualLayout>
          <c:layoutTarget val="inner"/>
          <c:xMode val="edge"/>
          <c:yMode val="edge"/>
          <c:x val="0.10329670329670364"/>
          <c:y val="7.5268817204301092E-2"/>
          <c:w val="0.51208791208791149"/>
          <c:h val="0.83870967741935765"/>
        </c:manualLayout>
      </c:layout>
      <c:barChart>
        <c:barDir val="col"/>
        <c:grouping val="clustered"/>
        <c:ser>
          <c:idx val="0"/>
          <c:order val="0"/>
          <c:tx>
            <c:v>GWh</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365.81536629527164</c:v>
              </c:pt>
            </c:numLit>
          </c:val>
        </c:ser>
        <c:ser>
          <c:idx val="1"/>
          <c:order val="1"/>
          <c:tx>
            <c:v>Cumulative Savings (GWH/yr) Goal</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536.79999999999995</c:v>
              </c:pt>
            </c:numLit>
          </c:val>
        </c:ser>
        <c:gapWidth val="51"/>
        <c:axId val="82175872"/>
        <c:axId val="82177408"/>
      </c:barChart>
      <c:catAx>
        <c:axId val="82175872"/>
        <c:scaling>
          <c:orientation val="minMax"/>
        </c:scaling>
        <c:delete val="1"/>
        <c:axPos val="b"/>
        <c:tickLblPos val="none"/>
        <c:crossAx val="82177408"/>
        <c:crosses val="autoZero"/>
        <c:auto val="1"/>
        <c:lblAlgn val="ctr"/>
        <c:lblOffset val="100"/>
      </c:catAx>
      <c:valAx>
        <c:axId val="82177408"/>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82175872"/>
        <c:crosses val="autoZero"/>
        <c:crossBetween val="between"/>
      </c:valAx>
    </c:plotArea>
    <c:legend>
      <c:legendPos val="r"/>
      <c:layout>
        <c:manualLayout>
          <c:xMode val="edge"/>
          <c:yMode val="edge"/>
          <c:x val="0.74285714285714288"/>
          <c:y val="0.31720599441198877"/>
          <c:w val="0.23076923076923148"/>
          <c:h val="0.36559309118618233"/>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 l="0.70000000000000062" r="0.70000000000000062" t="0.750000000000002"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SDG&amp;E </a:t>
            </a:r>
          </a:p>
        </c:rich>
      </c:tx>
      <c:layout>
        <c:manualLayout>
          <c:xMode val="edge"/>
          <c:yMode val="edge"/>
          <c:x val="0.72001635842031353"/>
          <c:y val="5.8667449177548493E-2"/>
        </c:manualLayout>
      </c:layout>
      <c:overlay val="1"/>
      <c:spPr>
        <a:noFill/>
        <a:ln w="25400">
          <a:noFill/>
        </a:ln>
      </c:spPr>
    </c:title>
    <c:plotArea>
      <c:layout>
        <c:manualLayout>
          <c:layoutTarget val="inner"/>
          <c:xMode val="edge"/>
          <c:yMode val="edge"/>
          <c:x val="9.3023255813953501E-2"/>
          <c:y val="8.6956521739130543E-2"/>
          <c:w val="0.51162790697674421"/>
          <c:h val="0.81366459627329346"/>
        </c:manualLayout>
      </c:layout>
      <c:barChart>
        <c:barDir val="col"/>
        <c:grouping val="clustered"/>
        <c:ser>
          <c:idx val="0"/>
          <c:order val="0"/>
          <c:tx>
            <c:v>MMTherm</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11.108816541145178</c:v>
              </c:pt>
            </c:numLit>
          </c:val>
        </c:ser>
        <c:ser>
          <c:idx val="1"/>
          <c:order val="1"/>
          <c:tx>
            <c:v>Total Cumulative Natural Gas Savings (MMTh/yr) Goal</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19.3</c:v>
              </c:pt>
            </c:numLit>
          </c:val>
        </c:ser>
        <c:gapWidth val="51"/>
        <c:axId val="99882112"/>
        <c:axId val="99883648"/>
      </c:barChart>
      <c:catAx>
        <c:axId val="99882112"/>
        <c:scaling>
          <c:orientation val="minMax"/>
        </c:scaling>
        <c:delete val="1"/>
        <c:axPos val="b"/>
        <c:tickLblPos val="none"/>
        <c:crossAx val="99883648"/>
        <c:crosses val="autoZero"/>
        <c:auto val="1"/>
        <c:lblAlgn val="ctr"/>
        <c:lblOffset val="100"/>
      </c:catAx>
      <c:valAx>
        <c:axId val="99883648"/>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99882112"/>
        <c:crosses val="autoZero"/>
        <c:crossBetween val="between"/>
      </c:valAx>
    </c:plotArea>
    <c:legend>
      <c:legendPos val="r"/>
      <c:layout>
        <c:manualLayout>
          <c:xMode val="edge"/>
          <c:yMode val="edge"/>
          <c:x val="0.66744259293169761"/>
          <c:y val="0.22981366459627364"/>
          <c:w val="0.30465140694622472"/>
          <c:h val="0.55279503105590211"/>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22" l="0.70000000000000062" r="0.70000000000000062" t="0.7500000000000022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PG&amp;E </a:t>
            </a:r>
          </a:p>
        </c:rich>
      </c:tx>
      <c:layout>
        <c:manualLayout>
          <c:xMode val="edge"/>
          <c:yMode val="edge"/>
          <c:x val="0.74156644957690543"/>
          <c:y val="0.18289117706440541"/>
        </c:manualLayout>
      </c:layout>
      <c:overlay val="1"/>
      <c:spPr>
        <a:noFill/>
        <a:ln w="25400">
          <a:noFill/>
        </a:ln>
      </c:spPr>
    </c:title>
    <c:plotArea>
      <c:layout>
        <c:manualLayout>
          <c:layoutTarget val="inner"/>
          <c:xMode val="edge"/>
          <c:yMode val="edge"/>
          <c:x val="0.11198428290766209"/>
          <c:y val="7.6923076923076927E-2"/>
          <c:w val="0.52259332023575489"/>
          <c:h val="0.83516483516483564"/>
        </c:manualLayout>
      </c:layout>
      <c:barChart>
        <c:barDir val="col"/>
        <c:grouping val="clustered"/>
        <c:ser>
          <c:idx val="0"/>
          <c:order val="0"/>
          <c:tx>
            <c:strRef>
              <c:f>'[2]04-05 EE Tables'!$A$5</c:f>
              <c:strCache>
                <c:ptCount val="1"/>
                <c:pt idx="0">
                  <c:v>GWh-Annual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Tables'!$B$5</c:f>
              <c:numCache>
                <c:formatCode>General</c:formatCode>
                <c:ptCount val="1"/>
                <c:pt idx="0">
                  <c:v>998.17060950105031</c:v>
                </c:pt>
              </c:numCache>
            </c:numRef>
          </c:val>
        </c:ser>
        <c:ser>
          <c:idx val="1"/>
          <c:order val="1"/>
          <c:tx>
            <c:strRef>
              <c:f>'[2]04-05 EE Tables'!$A$8</c:f>
              <c:strCache>
                <c:ptCount val="1"/>
                <c:pt idx="0">
                  <c:v>Total Cumulative Savings (GWH/yr)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Tables'!$B$8</c:f>
              <c:numCache>
                <c:formatCode>General</c:formatCode>
                <c:ptCount val="1"/>
                <c:pt idx="0">
                  <c:v>1487</c:v>
                </c:pt>
              </c:numCache>
            </c:numRef>
          </c:val>
        </c:ser>
        <c:gapWidth val="51"/>
        <c:axId val="99925376"/>
        <c:axId val="99931264"/>
      </c:barChart>
      <c:catAx>
        <c:axId val="99925376"/>
        <c:scaling>
          <c:orientation val="minMax"/>
        </c:scaling>
        <c:delete val="1"/>
        <c:axPos val="b"/>
        <c:tickLblPos val="none"/>
        <c:crossAx val="99931264"/>
        <c:crosses val="autoZero"/>
        <c:auto val="1"/>
        <c:lblAlgn val="ctr"/>
        <c:lblOffset val="100"/>
      </c:catAx>
      <c:valAx>
        <c:axId val="99931264"/>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99925376"/>
        <c:crosses val="autoZero"/>
        <c:crossBetween val="between"/>
      </c:valAx>
    </c:plotArea>
    <c:legend>
      <c:legendPos val="r"/>
      <c:txPr>
        <a:bodyPr/>
        <a:lstStyle/>
        <a:p>
          <a:pPr>
            <a:defRPr sz="67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44" l="0.70000000000000062" r="0.70000000000000062" t="0.75000000000000244"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xdr:col>
      <xdr:colOff>371475</xdr:colOff>
      <xdr:row>2</xdr:row>
      <xdr:rowOff>104775</xdr:rowOff>
    </xdr:from>
    <xdr:to>
      <xdr:col>10</xdr:col>
      <xdr:colOff>123825</xdr:colOff>
      <xdr:row>13</xdr:row>
      <xdr:rowOff>47625</xdr:rowOff>
    </xdr:to>
    <xdr:graphicFrame macro="">
      <xdr:nvGraphicFramePr>
        <xdr:cNvPr id="211176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400050</xdr:colOff>
      <xdr:row>13</xdr:row>
      <xdr:rowOff>76200</xdr:rowOff>
    </xdr:from>
    <xdr:to>
      <xdr:col>9</xdr:col>
      <xdr:colOff>247650</xdr:colOff>
      <xdr:row>22</xdr:row>
      <xdr:rowOff>85725</xdr:rowOff>
    </xdr:to>
    <xdr:graphicFrame macro="">
      <xdr:nvGraphicFramePr>
        <xdr:cNvPr id="2111770"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438150</xdr:colOff>
      <xdr:row>22</xdr:row>
      <xdr:rowOff>104775</xdr:rowOff>
    </xdr:from>
    <xdr:to>
      <xdr:col>9</xdr:col>
      <xdr:colOff>285750</xdr:colOff>
      <xdr:row>33</xdr:row>
      <xdr:rowOff>85725</xdr:rowOff>
    </xdr:to>
    <xdr:graphicFrame macro="">
      <xdr:nvGraphicFramePr>
        <xdr:cNvPr id="211177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476250</xdr:colOff>
      <xdr:row>33</xdr:row>
      <xdr:rowOff>95250</xdr:rowOff>
    </xdr:from>
    <xdr:to>
      <xdr:col>9</xdr:col>
      <xdr:colOff>85725</xdr:colOff>
      <xdr:row>43</xdr:row>
      <xdr:rowOff>0</xdr:rowOff>
    </xdr:to>
    <xdr:graphicFrame macro="">
      <xdr:nvGraphicFramePr>
        <xdr:cNvPr id="211177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371475</xdr:colOff>
      <xdr:row>2</xdr:row>
      <xdr:rowOff>104775</xdr:rowOff>
    </xdr:from>
    <xdr:to>
      <xdr:col>10</xdr:col>
      <xdr:colOff>123825</xdr:colOff>
      <xdr:row>13</xdr:row>
      <xdr:rowOff>47625</xdr:rowOff>
    </xdr:to>
    <xdr:graphicFrame macro="">
      <xdr:nvGraphicFramePr>
        <xdr:cNvPr id="211177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400050</xdr:colOff>
      <xdr:row>13</xdr:row>
      <xdr:rowOff>76200</xdr:rowOff>
    </xdr:from>
    <xdr:to>
      <xdr:col>9</xdr:col>
      <xdr:colOff>247650</xdr:colOff>
      <xdr:row>22</xdr:row>
      <xdr:rowOff>85725</xdr:rowOff>
    </xdr:to>
    <xdr:graphicFrame macro="">
      <xdr:nvGraphicFramePr>
        <xdr:cNvPr id="211177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438150</xdr:colOff>
      <xdr:row>22</xdr:row>
      <xdr:rowOff>104775</xdr:rowOff>
    </xdr:from>
    <xdr:to>
      <xdr:col>9</xdr:col>
      <xdr:colOff>285750</xdr:colOff>
      <xdr:row>33</xdr:row>
      <xdr:rowOff>85725</xdr:rowOff>
    </xdr:to>
    <xdr:graphicFrame macro="">
      <xdr:nvGraphicFramePr>
        <xdr:cNvPr id="211177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476250</xdr:colOff>
      <xdr:row>33</xdr:row>
      <xdr:rowOff>95250</xdr:rowOff>
    </xdr:from>
    <xdr:to>
      <xdr:col>9</xdr:col>
      <xdr:colOff>85725</xdr:colOff>
      <xdr:row>43</xdr:row>
      <xdr:rowOff>0</xdr:rowOff>
    </xdr:to>
    <xdr:graphicFrame macro="">
      <xdr:nvGraphicFramePr>
        <xdr:cNvPr id="211177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371475</xdr:colOff>
      <xdr:row>2</xdr:row>
      <xdr:rowOff>104775</xdr:rowOff>
    </xdr:from>
    <xdr:to>
      <xdr:col>10</xdr:col>
      <xdr:colOff>123825</xdr:colOff>
      <xdr:row>13</xdr:row>
      <xdr:rowOff>47625</xdr:rowOff>
    </xdr:to>
    <xdr:graphicFrame macro="">
      <xdr:nvGraphicFramePr>
        <xdr:cNvPr id="2111777"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390525</xdr:colOff>
      <xdr:row>13</xdr:row>
      <xdr:rowOff>47625</xdr:rowOff>
    </xdr:from>
    <xdr:to>
      <xdr:col>10</xdr:col>
      <xdr:colOff>495300</xdr:colOff>
      <xdr:row>22</xdr:row>
      <xdr:rowOff>66675</xdr:rowOff>
    </xdr:to>
    <xdr:graphicFrame macro="">
      <xdr:nvGraphicFramePr>
        <xdr:cNvPr id="2111778"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438150</xdr:colOff>
      <xdr:row>22</xdr:row>
      <xdr:rowOff>104775</xdr:rowOff>
    </xdr:from>
    <xdr:to>
      <xdr:col>9</xdr:col>
      <xdr:colOff>285750</xdr:colOff>
      <xdr:row>33</xdr:row>
      <xdr:rowOff>85725</xdr:rowOff>
    </xdr:to>
    <xdr:graphicFrame macro="">
      <xdr:nvGraphicFramePr>
        <xdr:cNvPr id="211177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476250</xdr:colOff>
      <xdr:row>33</xdr:row>
      <xdr:rowOff>95250</xdr:rowOff>
    </xdr:from>
    <xdr:to>
      <xdr:col>9</xdr:col>
      <xdr:colOff>85725</xdr:colOff>
      <xdr:row>42</xdr:row>
      <xdr:rowOff>0</xdr:rowOff>
    </xdr:to>
    <xdr:graphicFrame macro="">
      <xdr:nvGraphicFramePr>
        <xdr:cNvPr id="211178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0.49658</cdr:x>
      <cdr:y>0.4974</cdr:y>
    </cdr:from>
    <cdr:to>
      <cdr:x>0.53423</cdr:x>
      <cdr:y>0.59915</cdr:y>
    </cdr:to>
    <cdr:sp macro="" textlink="">
      <cdr:nvSpPr>
        <cdr:cNvPr id="13313" name="Text Box 1"/>
        <cdr:cNvSpPr txBox="1">
          <a:spLocks xmlns:a="http://schemas.openxmlformats.org/drawingml/2006/main" noChangeArrowheads="1"/>
        </cdr:cNvSpPr>
      </cdr:nvSpPr>
      <cdr:spPr bwMode="auto">
        <a:xfrm xmlns:a="http://schemas.openxmlformats.org/drawingml/2006/main">
          <a:off x="2160006" y="889126"/>
          <a:ext cx="163554" cy="181237"/>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n-US" sz="1000" b="1" i="0" u="none" strike="noStrike" baseline="0">
              <a:solidFill>
                <a:srgbClr val="000000"/>
              </a:solidFill>
              <a:latin typeface="Calibri"/>
            </a:rPr>
            <a:t>o</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FOR%20THE%20FILING(SDGE)\JEORGE%20TAGNIPIS%20RRIM%20CALCS%20(MAY%2024TH,2011)\RRIMCalculator2009_Template%2302_pge_sempr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work_computer_backup\EE\2006-08\ERT_Scenario_Analysis_Due070910\Docs\VR_Appendix_0405DataTables_zap110408_CLB_post2005savingscaptured+draftupdates_1-10-09(SBD)clean%20note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RM Calculator"/>
      <sheetName val="ERT Summary"/>
      <sheetName val="SCEAdj"/>
      <sheetName val="PGEAdj"/>
      <sheetName val="SDGEAdj"/>
      <sheetName val="SoCalGasAdj"/>
      <sheetName val="04-05 EE Tables"/>
      <sheetName val="04-09 LIEE Tables"/>
      <sheetName val="Pre-06 C&amp;S Tables"/>
      <sheetName val="C&amp;S2006-09"/>
      <sheetName val="Savings Goals D.04-09-060"/>
      <sheetName val="Authorized Payments"/>
      <sheetName val="log"/>
    </sheetNames>
    <sheetDataSet>
      <sheetData sheetId="0"/>
      <sheetData sheetId="1"/>
      <sheetData sheetId="2"/>
      <sheetData sheetId="3"/>
      <sheetData sheetId="4"/>
      <sheetData sheetId="5">
        <row r="4">
          <cell r="D4" t="str">
            <v>Total Savings (MMTh)</v>
          </cell>
        </row>
      </sheetData>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IRECTORY"/>
      <sheetName val="Evaluation Results+Adj Savings"/>
      <sheetName val="04-05 EE Tables"/>
      <sheetName val="ExAnte Results"/>
      <sheetName val="Decision Goals"/>
      <sheetName val="References by ID"/>
      <sheetName val="LifeCycle impact_data_All"/>
      <sheetName val="LifeCycle impact_data_MWh"/>
      <sheetName val="LifeCycle impact_data_MW"/>
      <sheetName val="LifeCycle impact_data_Therms"/>
    </sheetNames>
    <sheetDataSet>
      <sheetData sheetId="0"/>
      <sheetData sheetId="1"/>
      <sheetData sheetId="2">
        <row r="2">
          <cell r="B2" t="str">
            <v>2005*</v>
          </cell>
        </row>
        <row r="5">
          <cell r="A5" t="str">
            <v>GWh-Annual</v>
          </cell>
          <cell r="B5">
            <v>998.17060950105031</v>
          </cell>
        </row>
        <row r="8">
          <cell r="A8" t="str">
            <v>Total Cumulative Savings (GWH/yr) Goal</v>
          </cell>
          <cell r="B8">
            <v>1487</v>
          </cell>
        </row>
        <row r="16">
          <cell r="A16" t="str">
            <v>GWh</v>
          </cell>
          <cell r="B16">
            <v>1497.9157626778292</v>
          </cell>
        </row>
        <row r="19">
          <cell r="A19" t="str">
            <v>Cumulative Savings (GWH/yr) Goal</v>
          </cell>
          <cell r="B19">
            <v>1653</v>
          </cell>
        </row>
        <row r="25">
          <cell r="A25" t="str">
            <v>GWh</v>
          </cell>
          <cell r="B25">
            <v>342.58511520167167</v>
          </cell>
        </row>
        <row r="28">
          <cell r="A28" t="str">
            <v>Cumulative Savings (GWH/yr) Goal</v>
          </cell>
          <cell r="B28">
            <v>536.79999999999995</v>
          </cell>
        </row>
        <row r="38">
          <cell r="A38" t="str">
            <v>MMTherm</v>
          </cell>
          <cell r="B38">
            <v>11.108797321145177</v>
          </cell>
        </row>
        <row r="39">
          <cell r="A39" t="str">
            <v>Total Cumulative Natural Gas Savings (MMTh/yr) Goal</v>
          </cell>
          <cell r="B39">
            <v>19.3</v>
          </cell>
        </row>
      </sheetData>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1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liob.org/docs/SCG%20Annual%20LIEE%20CARE%202009%20Results%205-3-10.pdf" TargetMode="External"/><Relationship Id="rId2" Type="http://schemas.openxmlformats.org/officeDocument/2006/relationships/hyperlink" Target="http://www.liob.org/docs/SDG&amp;E%20Annual%20LIEE%20CARE%202009%20Results%205-3-10.pdf" TargetMode="External"/><Relationship Id="rId1" Type="http://schemas.openxmlformats.org/officeDocument/2006/relationships/hyperlink" Target="http://www.liob.org/docs/PG&amp;E%20Cover%20Pleading%20and%20LIEE-CARE%20Annual%20Report%205-3-10.pdf" TargetMode="External"/><Relationship Id="rId5" Type="http://schemas.openxmlformats.org/officeDocument/2006/relationships/printerSettings" Target="../printerSettings/printerSettings8.bin"/><Relationship Id="rId4" Type="http://schemas.openxmlformats.org/officeDocument/2006/relationships/hyperlink" Target="http://www.liob.org/docs/SCE%20Annual%20Project%20Reports%20for%20FERA%20%20LIEE%20Pro%205-3-10.pdf" TargetMode="External"/></Relationships>
</file>

<file path=xl/worksheets/sheet1.xml><?xml version="1.0" encoding="utf-8"?>
<worksheet xmlns="http://schemas.openxmlformats.org/spreadsheetml/2006/main" xmlns:r="http://schemas.openxmlformats.org/officeDocument/2006/relationships">
  <sheetPr codeName="Sheet1"/>
  <dimension ref="A1:AA71"/>
  <sheetViews>
    <sheetView showGridLines="0" showZeros="0" tabSelected="1" zoomScale="80" zoomScaleNormal="80" workbookViewId="0">
      <pane xSplit="2" ySplit="6" topLeftCell="N20" activePane="bottomRight" state="frozen"/>
      <selection activeCell="O13" sqref="O13"/>
      <selection pane="topRight" activeCell="O13" sqref="O13"/>
      <selection pane="bottomLeft" activeCell="O13" sqref="O13"/>
      <selection pane="bottomRight" activeCell="U41" sqref="U41"/>
    </sheetView>
  </sheetViews>
  <sheetFormatPr defaultColWidth="9.42578125" defaultRowHeight="12.75"/>
  <cols>
    <col min="1" max="1" width="1.28515625" style="38" customWidth="1"/>
    <col min="2" max="2" width="45.140625" style="38" customWidth="1"/>
    <col min="3" max="4" width="17.7109375" style="38" hidden="1" customWidth="1"/>
    <col min="5" max="6" width="16.5703125" style="38" hidden="1" customWidth="1"/>
    <col min="7" max="7" width="21.85546875" style="94" hidden="1" customWidth="1"/>
    <col min="8" max="9" width="17.7109375" style="38" hidden="1" customWidth="1"/>
    <col min="10" max="11" width="16.5703125" style="38" hidden="1" customWidth="1"/>
    <col min="12" max="12" width="18.7109375" style="38" hidden="1" customWidth="1"/>
    <col min="13" max="14" width="17.7109375" style="38" customWidth="1"/>
    <col min="15" max="16" width="16.5703125" style="38" customWidth="1"/>
    <col min="17" max="17" width="18.7109375" style="38" customWidth="1"/>
    <col min="18" max="18" width="6.5703125" style="38" customWidth="1"/>
    <col min="19" max="22" width="9.42578125" style="38"/>
    <col min="23" max="23" width="2.5703125" style="38" customWidth="1"/>
    <col min="24" max="26" width="9.42578125" style="38"/>
    <col min="27" max="27" width="9.42578125" style="38" bestFit="1" customWidth="1"/>
    <col min="28" max="16384" width="9.42578125" style="38"/>
  </cols>
  <sheetData>
    <row r="1" spans="1:18" ht="15.75">
      <c r="B1" s="37" t="s">
        <v>322</v>
      </c>
    </row>
    <row r="2" spans="1:18" ht="15" customHeight="1">
      <c r="B2" s="37"/>
      <c r="C2" s="39"/>
      <c r="D2" s="39"/>
      <c r="E2" s="39"/>
      <c r="F2" s="39"/>
    </row>
    <row r="3" spans="1:18" s="40" customFormat="1" ht="16.5" thickBot="1"/>
    <row r="4" spans="1:18" s="40" customFormat="1" ht="15.75">
      <c r="B4" s="41"/>
      <c r="C4" s="95" t="s">
        <v>10</v>
      </c>
      <c r="D4" s="96"/>
      <c r="E4" s="96"/>
      <c r="F4" s="96"/>
      <c r="G4" s="97"/>
      <c r="H4" s="95" t="s">
        <v>11</v>
      </c>
      <c r="I4" s="96"/>
      <c r="J4" s="96"/>
      <c r="K4" s="96"/>
      <c r="L4" s="97"/>
      <c r="M4" s="95" t="s">
        <v>242</v>
      </c>
      <c r="N4" s="96"/>
      <c r="O4" s="96"/>
      <c r="P4" s="96"/>
      <c r="Q4" s="97"/>
    </row>
    <row r="5" spans="1:18" ht="16.5" thickBot="1">
      <c r="B5" s="45"/>
      <c r="C5" s="98" t="s">
        <v>3</v>
      </c>
      <c r="D5" s="99" t="s">
        <v>7</v>
      </c>
      <c r="E5" s="99" t="s">
        <v>12</v>
      </c>
      <c r="F5" s="99" t="s">
        <v>9</v>
      </c>
      <c r="G5" s="100" t="s">
        <v>13</v>
      </c>
      <c r="H5" s="98" t="s">
        <v>3</v>
      </c>
      <c r="I5" s="99" t="s">
        <v>7</v>
      </c>
      <c r="J5" s="99" t="s">
        <v>12</v>
      </c>
      <c r="K5" s="99" t="s">
        <v>9</v>
      </c>
      <c r="L5" s="100" t="s">
        <v>13</v>
      </c>
      <c r="M5" s="98" t="s">
        <v>3</v>
      </c>
      <c r="N5" s="99" t="s">
        <v>7</v>
      </c>
      <c r="O5" s="99" t="s">
        <v>12</v>
      </c>
      <c r="P5" s="99" t="s">
        <v>9</v>
      </c>
      <c r="Q5" s="100" t="s">
        <v>13</v>
      </c>
    </row>
    <row r="6" spans="1:18" ht="4.5" customHeight="1" thickBot="1">
      <c r="B6" s="45"/>
      <c r="C6" s="49"/>
      <c r="D6" s="50"/>
      <c r="E6" s="50"/>
      <c r="F6" s="50"/>
      <c r="G6" s="101"/>
      <c r="H6" s="50"/>
      <c r="I6" s="50"/>
      <c r="J6" s="50"/>
      <c r="K6" s="50"/>
      <c r="L6" s="101"/>
      <c r="M6" s="50"/>
      <c r="N6" s="50"/>
      <c r="O6" s="50"/>
      <c r="P6" s="50"/>
      <c r="Q6" s="101"/>
    </row>
    <row r="7" spans="1:18" ht="15.75">
      <c r="B7" s="102" t="s">
        <v>14</v>
      </c>
      <c r="C7" s="103" t="s">
        <v>15</v>
      </c>
      <c r="D7" s="104"/>
      <c r="E7" s="104"/>
      <c r="F7" s="104"/>
      <c r="G7" s="105"/>
      <c r="H7" s="106" t="s">
        <v>16</v>
      </c>
      <c r="I7" s="104"/>
      <c r="J7" s="104"/>
      <c r="K7" s="104"/>
      <c r="L7" s="105"/>
      <c r="M7" s="106" t="s">
        <v>243</v>
      </c>
      <c r="N7" s="104"/>
      <c r="O7" s="104"/>
      <c r="P7" s="104"/>
      <c r="Q7" s="105"/>
    </row>
    <row r="8" spans="1:18">
      <c r="B8" s="107" t="s">
        <v>17</v>
      </c>
      <c r="C8" s="108">
        <f>'Savings Goals D.04-09-060'!E4</f>
        <v>3260</v>
      </c>
      <c r="D8" s="109">
        <f>'Savings Goals D.04-09-060'!E9</f>
        <v>3621</v>
      </c>
      <c r="E8" s="109">
        <f>'Savings Goals D.04-09-060'!E13</f>
        <v>1102.4000000000001</v>
      </c>
      <c r="F8" s="110">
        <v>0</v>
      </c>
      <c r="G8" s="111">
        <f>SUM(C8:F8)</f>
        <v>7983.4</v>
      </c>
      <c r="H8" s="109">
        <f>'Savings Goals D.04-09-060'!F4</f>
        <v>2826</v>
      </c>
      <c r="I8" s="109">
        <f>'Savings Goals D.04-09-060'!F9</f>
        <v>3135</v>
      </c>
      <c r="J8" s="260">
        <f>'Savings Goals D.04-09-060'!F13-'Savings Goals D.04-09-060'!F21</f>
        <v>638.20000000000005</v>
      </c>
      <c r="K8" s="110"/>
      <c r="L8" s="111">
        <f>SUM(H8:K8)</f>
        <v>6599.2</v>
      </c>
      <c r="M8" s="282"/>
      <c r="N8" s="260"/>
      <c r="O8" s="260">
        <f>'Savings Goals D.04-09-060'!G13</f>
        <v>839</v>
      </c>
      <c r="P8" s="110"/>
      <c r="Q8" s="111">
        <f>SUM(M8:P8)</f>
        <v>839</v>
      </c>
      <c r="R8" s="286"/>
    </row>
    <row r="9" spans="1:18">
      <c r="B9" s="112" t="s">
        <v>5</v>
      </c>
      <c r="C9" s="113">
        <f>'Savings Goals D.04-09-060'!E5</f>
        <v>708</v>
      </c>
      <c r="D9" s="75">
        <f>'Savings Goals D.04-09-060'!E10</f>
        <v>760</v>
      </c>
      <c r="E9" s="75">
        <f>'Savings Goals D.04-09-060'!E14</f>
        <v>209.5</v>
      </c>
      <c r="F9" s="114">
        <v>0</v>
      </c>
      <c r="G9" s="115">
        <f>SUM(C9:F9)</f>
        <v>1677.5</v>
      </c>
      <c r="H9" s="75">
        <f>'Savings Goals D.04-09-060'!F5</f>
        <v>613</v>
      </c>
      <c r="I9" s="75">
        <f>'Savings Goals D.04-09-060'!F10</f>
        <v>672</v>
      </c>
      <c r="J9" s="261">
        <f>'Savings Goals D.04-09-060'!F14-'Savings Goals D.04-09-060'!F22</f>
        <v>122.30000000000001</v>
      </c>
      <c r="K9" s="114"/>
      <c r="L9" s="115">
        <f>SUM(H9:K9)</f>
        <v>1407.3</v>
      </c>
      <c r="M9" s="283"/>
      <c r="N9" s="261"/>
      <c r="O9" s="261">
        <f>'Savings Goals D.04-09-060'!G14</f>
        <v>162</v>
      </c>
      <c r="P9" s="114"/>
      <c r="Q9" s="115">
        <f>SUM(M9:P9)</f>
        <v>162</v>
      </c>
    </row>
    <row r="10" spans="1:18">
      <c r="B10" s="285" t="s">
        <v>18</v>
      </c>
      <c r="C10" s="118">
        <f>'Savings Goals D.04-09-060'!E6</f>
        <v>47</v>
      </c>
      <c r="D10" s="117">
        <v>0</v>
      </c>
      <c r="E10" s="118">
        <f>'Savings Goals D.04-09-060'!E15</f>
        <v>9.5</v>
      </c>
      <c r="F10" s="118">
        <f>'Savings Goals D.04-09-060'!E18</f>
        <v>53.3</v>
      </c>
      <c r="G10" s="119">
        <f>SUM(C10:F10)</f>
        <v>109.8</v>
      </c>
      <c r="H10" s="263">
        <f>'Savings Goals D.04-09-060'!F6*(1-0.38)</f>
        <v>27.776000000000003</v>
      </c>
      <c r="I10" s="117"/>
      <c r="J10" s="263">
        <f>'Savings Goals D.04-09-060'!F15*(1-0.25)</f>
        <v>7.125</v>
      </c>
      <c r="K10" s="118">
        <f>'Savings Goals D.04-09-060'!F18</f>
        <v>57.2</v>
      </c>
      <c r="L10" s="119">
        <f>SUM(H10:K10)</f>
        <v>92.100999999999999</v>
      </c>
      <c r="M10" s="284"/>
      <c r="N10" s="117"/>
      <c r="O10" s="263">
        <f>'Savings Goals D.04-09-060'!G15</f>
        <v>12.8</v>
      </c>
      <c r="P10" s="263">
        <f>'Savings Goals D.04-09-060'!G18</f>
        <v>84</v>
      </c>
      <c r="Q10" s="119">
        <f>SUM(M10:P10)</f>
        <v>96.8</v>
      </c>
    </row>
    <row r="11" spans="1:18" ht="5.0999999999999996" customHeight="1">
      <c r="B11" s="120"/>
      <c r="C11" s="121"/>
      <c r="D11" s="122"/>
      <c r="E11" s="122"/>
      <c r="F11" s="122"/>
      <c r="G11" s="123"/>
      <c r="H11" s="122"/>
      <c r="I11" s="122"/>
      <c r="J11" s="122"/>
      <c r="K11" s="122"/>
      <c r="L11" s="123"/>
      <c r="M11" s="122">
        <f>H11</f>
        <v>0</v>
      </c>
      <c r="N11" s="122">
        <f t="shared" ref="N11:N20" si="0">I11</f>
        <v>0</v>
      </c>
      <c r="O11" s="122">
        <f>J11</f>
        <v>0</v>
      </c>
      <c r="P11" s="122">
        <f t="shared" ref="P11:P19" si="1">K11</f>
        <v>0</v>
      </c>
      <c r="Q11" s="123"/>
    </row>
    <row r="12" spans="1:18">
      <c r="B12" s="124" t="s">
        <v>19</v>
      </c>
      <c r="C12" s="125"/>
      <c r="D12" s="126"/>
      <c r="E12" s="126"/>
      <c r="F12" s="126"/>
      <c r="G12" s="127"/>
      <c r="H12" s="126"/>
      <c r="I12" s="126"/>
      <c r="J12" s="126"/>
      <c r="K12" s="126"/>
      <c r="L12" s="127"/>
      <c r="M12" s="126">
        <f>H12</f>
        <v>0</v>
      </c>
      <c r="N12" s="126">
        <f t="shared" si="0"/>
        <v>0</v>
      </c>
      <c r="O12" s="126">
        <f>J12</f>
        <v>0</v>
      </c>
      <c r="P12" s="126">
        <f t="shared" si="1"/>
        <v>0</v>
      </c>
      <c r="Q12" s="127"/>
    </row>
    <row r="13" spans="1:18">
      <c r="A13" s="128">
        <v>1000000</v>
      </c>
      <c r="B13" s="129" t="s">
        <v>17</v>
      </c>
      <c r="C13" s="113">
        <f t="shared" ref="C13:F15" si="2">C8*0.8</f>
        <v>2608</v>
      </c>
      <c r="D13" s="75">
        <f t="shared" si="2"/>
        <v>2896.8</v>
      </c>
      <c r="E13" s="75">
        <f t="shared" si="2"/>
        <v>881.92000000000007</v>
      </c>
      <c r="F13" s="114">
        <f t="shared" si="2"/>
        <v>0</v>
      </c>
      <c r="G13" s="115">
        <f>SUM(C13:F13)</f>
        <v>6386.72</v>
      </c>
      <c r="H13" s="75">
        <f t="shared" ref="H13:K15" si="3">H8*0.8</f>
        <v>2260.8000000000002</v>
      </c>
      <c r="I13" s="75">
        <f t="shared" si="3"/>
        <v>2508</v>
      </c>
      <c r="J13" s="75">
        <f t="shared" si="3"/>
        <v>510.56000000000006</v>
      </c>
      <c r="K13" s="114">
        <f t="shared" si="3"/>
        <v>0</v>
      </c>
      <c r="L13" s="115">
        <f>SUM(H13:K13)</f>
        <v>5279.3600000000006</v>
      </c>
      <c r="M13" s="261">
        <f>M8*0.8</f>
        <v>0</v>
      </c>
      <c r="N13" s="261">
        <f>N8*0.8</f>
        <v>0</v>
      </c>
      <c r="O13" s="261">
        <f>O8*0.8</f>
        <v>671.2</v>
      </c>
      <c r="P13" s="114">
        <f t="shared" si="1"/>
        <v>0</v>
      </c>
      <c r="Q13" s="115">
        <f>SUM(M13:P13)</f>
        <v>671.2</v>
      </c>
    </row>
    <row r="14" spans="1:18">
      <c r="A14" s="128">
        <v>1000</v>
      </c>
      <c r="B14" s="129" t="s">
        <v>5</v>
      </c>
      <c r="C14" s="113">
        <f>C9*0.8</f>
        <v>566.4</v>
      </c>
      <c r="D14" s="75">
        <f t="shared" si="2"/>
        <v>608</v>
      </c>
      <c r="E14" s="75">
        <f t="shared" si="2"/>
        <v>167.60000000000002</v>
      </c>
      <c r="F14" s="114">
        <f t="shared" si="2"/>
        <v>0</v>
      </c>
      <c r="G14" s="115">
        <f>SUM(C14:F14)</f>
        <v>1342</v>
      </c>
      <c r="H14" s="75">
        <f t="shared" si="3"/>
        <v>490.40000000000003</v>
      </c>
      <c r="I14" s="75">
        <f t="shared" si="3"/>
        <v>537.6</v>
      </c>
      <c r="J14" s="75">
        <f t="shared" si="3"/>
        <v>97.840000000000018</v>
      </c>
      <c r="K14" s="114">
        <f t="shared" si="3"/>
        <v>0</v>
      </c>
      <c r="L14" s="115">
        <f>SUM(H14:K14)</f>
        <v>1125.8399999999999</v>
      </c>
      <c r="M14" s="261">
        <f>M9*0.8</f>
        <v>0</v>
      </c>
      <c r="N14" s="261">
        <f t="shared" ref="N14:P15" si="4">N9*0.8</f>
        <v>0</v>
      </c>
      <c r="O14" s="261">
        <f t="shared" si="4"/>
        <v>129.6</v>
      </c>
      <c r="P14" s="114">
        <f t="shared" si="1"/>
        <v>0</v>
      </c>
      <c r="Q14" s="115">
        <f>SUM(M14:P14)</f>
        <v>129.6</v>
      </c>
    </row>
    <row r="15" spans="1:18">
      <c r="A15" s="128">
        <v>1000000</v>
      </c>
      <c r="B15" s="130" t="s">
        <v>18</v>
      </c>
      <c r="C15" s="116">
        <f t="shared" si="2"/>
        <v>37.6</v>
      </c>
      <c r="D15" s="117">
        <f t="shared" si="2"/>
        <v>0</v>
      </c>
      <c r="E15" s="118">
        <f t="shared" si="2"/>
        <v>7.6000000000000005</v>
      </c>
      <c r="F15" s="118">
        <f t="shared" si="2"/>
        <v>42.64</v>
      </c>
      <c r="G15" s="119">
        <f>SUM(C15:F15)</f>
        <v>87.84</v>
      </c>
      <c r="H15" s="118">
        <f t="shared" si="3"/>
        <v>22.220800000000004</v>
      </c>
      <c r="I15" s="117">
        <f t="shared" si="3"/>
        <v>0</v>
      </c>
      <c r="J15" s="118">
        <f t="shared" si="3"/>
        <v>5.7</v>
      </c>
      <c r="K15" s="118">
        <f t="shared" si="3"/>
        <v>45.760000000000005</v>
      </c>
      <c r="L15" s="119">
        <f>SUM(H15:K15)</f>
        <v>73.680800000000005</v>
      </c>
      <c r="M15" s="284">
        <f>M10*0.8</f>
        <v>0</v>
      </c>
      <c r="N15" s="117">
        <f t="shared" si="0"/>
        <v>0</v>
      </c>
      <c r="O15" s="263">
        <f t="shared" si="4"/>
        <v>10.240000000000002</v>
      </c>
      <c r="P15" s="263">
        <f t="shared" si="4"/>
        <v>67.2</v>
      </c>
      <c r="Q15" s="119">
        <f>SUM(M15:P15)</f>
        <v>77.44</v>
      </c>
    </row>
    <row r="16" spans="1:18" ht="5.0999999999999996" customHeight="1">
      <c r="B16" s="112"/>
      <c r="C16" s="113"/>
      <c r="D16" s="75"/>
      <c r="E16" s="75"/>
      <c r="F16" s="75"/>
      <c r="G16" s="115"/>
      <c r="H16" s="75"/>
      <c r="I16" s="75"/>
      <c r="J16" s="75"/>
      <c r="K16" s="75"/>
      <c r="L16" s="115"/>
      <c r="M16" s="75">
        <f>H16</f>
        <v>0</v>
      </c>
      <c r="N16" s="75">
        <f t="shared" si="0"/>
        <v>0</v>
      </c>
      <c r="O16" s="75">
        <f>J16</f>
        <v>0</v>
      </c>
      <c r="P16" s="75">
        <f t="shared" si="1"/>
        <v>0</v>
      </c>
      <c r="Q16" s="115"/>
    </row>
    <row r="17" spans="1:27">
      <c r="B17" s="124" t="s">
        <v>20</v>
      </c>
      <c r="C17" s="125"/>
      <c r="D17" s="126"/>
      <c r="E17" s="126"/>
      <c r="F17" s="126"/>
      <c r="G17" s="127"/>
      <c r="H17" s="126"/>
      <c r="I17" s="126"/>
      <c r="J17" s="126"/>
      <c r="K17" s="126"/>
      <c r="L17" s="127"/>
      <c r="M17" s="126">
        <f>H17</f>
        <v>0</v>
      </c>
      <c r="N17" s="126">
        <f t="shared" si="0"/>
        <v>0</v>
      </c>
      <c r="O17" s="126">
        <f>J17</f>
        <v>0</v>
      </c>
      <c r="P17" s="126">
        <f t="shared" si="1"/>
        <v>0</v>
      </c>
      <c r="Q17" s="127"/>
    </row>
    <row r="18" spans="1:27">
      <c r="B18" s="129" t="s">
        <v>17</v>
      </c>
      <c r="C18" s="113">
        <f>C8*0.65</f>
        <v>2119</v>
      </c>
      <c r="D18" s="75">
        <f t="shared" ref="C18:F20" si="5">D8*0.65</f>
        <v>2353.65</v>
      </c>
      <c r="E18" s="75">
        <f t="shared" si="5"/>
        <v>716.56000000000006</v>
      </c>
      <c r="F18" s="114">
        <f t="shared" si="5"/>
        <v>0</v>
      </c>
      <c r="G18" s="115">
        <f>SUM(C18:F18)</f>
        <v>5189.21</v>
      </c>
      <c r="H18" s="75">
        <f t="shared" ref="H18:K20" si="6">H8*0.65</f>
        <v>1836.9</v>
      </c>
      <c r="I18" s="75">
        <f t="shared" si="6"/>
        <v>2037.75</v>
      </c>
      <c r="J18" s="75">
        <f t="shared" si="6"/>
        <v>414.83000000000004</v>
      </c>
      <c r="K18" s="114">
        <f t="shared" si="6"/>
        <v>0</v>
      </c>
      <c r="L18" s="115">
        <f>SUM(H18:K18)</f>
        <v>4289.4800000000005</v>
      </c>
      <c r="M18" s="261">
        <f>M8*0.65</f>
        <v>0</v>
      </c>
      <c r="N18" s="261">
        <f>N8*0.65</f>
        <v>0</v>
      </c>
      <c r="O18" s="261">
        <f>O8*0.65</f>
        <v>545.35</v>
      </c>
      <c r="P18" s="114">
        <f t="shared" si="1"/>
        <v>0</v>
      </c>
      <c r="Q18" s="115">
        <f>SUM(M18:P18)</f>
        <v>545.35</v>
      </c>
    </row>
    <row r="19" spans="1:27">
      <c r="B19" s="129" t="s">
        <v>5</v>
      </c>
      <c r="C19" s="113">
        <f t="shared" si="5"/>
        <v>460.2</v>
      </c>
      <c r="D19" s="75">
        <f t="shared" si="5"/>
        <v>494</v>
      </c>
      <c r="E19" s="75">
        <f t="shared" si="5"/>
        <v>136.17500000000001</v>
      </c>
      <c r="F19" s="114">
        <f t="shared" si="5"/>
        <v>0</v>
      </c>
      <c r="G19" s="115">
        <f>SUM(C19:F19)</f>
        <v>1090.375</v>
      </c>
      <c r="H19" s="75">
        <f t="shared" si="6"/>
        <v>398.45</v>
      </c>
      <c r="I19" s="75">
        <f t="shared" si="6"/>
        <v>436.8</v>
      </c>
      <c r="J19" s="75">
        <f t="shared" si="6"/>
        <v>79.495000000000005</v>
      </c>
      <c r="K19" s="114">
        <f t="shared" si="6"/>
        <v>0</v>
      </c>
      <c r="L19" s="115">
        <f>SUM(H19:K19)</f>
        <v>914.745</v>
      </c>
      <c r="M19" s="261">
        <f t="shared" ref="M19:P20" si="7">M9*0.65</f>
        <v>0</v>
      </c>
      <c r="N19" s="261">
        <f t="shared" si="7"/>
        <v>0</v>
      </c>
      <c r="O19" s="261">
        <f t="shared" si="7"/>
        <v>105.3</v>
      </c>
      <c r="P19" s="114">
        <f t="shared" si="1"/>
        <v>0</v>
      </c>
      <c r="Q19" s="115">
        <f>SUM(M19:P19)</f>
        <v>105.3</v>
      </c>
    </row>
    <row r="20" spans="1:27" ht="13.5" thickBot="1">
      <c r="B20" s="131" t="s">
        <v>18</v>
      </c>
      <c r="C20" s="132">
        <f t="shared" si="5"/>
        <v>30.55</v>
      </c>
      <c r="D20" s="133">
        <f t="shared" si="5"/>
        <v>0</v>
      </c>
      <c r="E20" s="134">
        <f t="shared" si="5"/>
        <v>6.1749999999999998</v>
      </c>
      <c r="F20" s="134">
        <f t="shared" si="5"/>
        <v>34.644999999999996</v>
      </c>
      <c r="G20" s="135">
        <f>SUM(C20:F20)</f>
        <v>71.37</v>
      </c>
      <c r="H20" s="134">
        <f t="shared" si="6"/>
        <v>18.054400000000001</v>
      </c>
      <c r="I20" s="133">
        <f t="shared" si="6"/>
        <v>0</v>
      </c>
      <c r="J20" s="134">
        <f t="shared" si="6"/>
        <v>4.6312500000000005</v>
      </c>
      <c r="K20" s="134">
        <f t="shared" si="6"/>
        <v>37.18</v>
      </c>
      <c r="L20" s="135">
        <f>SUM(H20:K20)</f>
        <v>59.865650000000002</v>
      </c>
      <c r="M20" s="284">
        <f t="shared" si="7"/>
        <v>0</v>
      </c>
      <c r="N20" s="117">
        <f t="shared" si="0"/>
        <v>0</v>
      </c>
      <c r="O20" s="263">
        <f t="shared" si="7"/>
        <v>8.32</v>
      </c>
      <c r="P20" s="263">
        <f t="shared" si="7"/>
        <v>54.6</v>
      </c>
      <c r="Q20" s="135">
        <f>SUM(M20:P20)</f>
        <v>62.92</v>
      </c>
    </row>
    <row r="21" spans="1:27" ht="5.0999999999999996" customHeight="1" thickBot="1">
      <c r="A21" s="88"/>
      <c r="B21" s="136"/>
      <c r="C21" s="75"/>
      <c r="D21" s="75"/>
      <c r="E21" s="75"/>
      <c r="F21" s="75"/>
      <c r="G21" s="137"/>
      <c r="H21" s="75"/>
      <c r="I21" s="75"/>
      <c r="J21" s="75"/>
      <c r="K21" s="75"/>
      <c r="L21" s="137"/>
      <c r="M21" s="75"/>
      <c r="N21" s="75"/>
      <c r="O21" s="75"/>
      <c r="P21" s="75"/>
      <c r="Q21" s="137"/>
    </row>
    <row r="22" spans="1:27" ht="15.75">
      <c r="B22" s="51" t="s">
        <v>21</v>
      </c>
      <c r="C22" s="52"/>
      <c r="D22" s="53"/>
      <c r="E22" s="53"/>
      <c r="F22" s="53"/>
      <c r="G22" s="138"/>
      <c r="H22" s="53"/>
      <c r="I22" s="53"/>
      <c r="J22" s="53"/>
      <c r="K22" s="53"/>
      <c r="L22" s="138"/>
      <c r="M22" s="53"/>
      <c r="N22" s="53"/>
      <c r="O22" s="53"/>
      <c r="P22" s="53"/>
      <c r="Q22" s="138"/>
      <c r="S22" s="352" t="s">
        <v>283</v>
      </c>
      <c r="X22" s="352"/>
    </row>
    <row r="23" spans="1:27" ht="13.5" thickBot="1">
      <c r="B23" s="55" t="s">
        <v>22</v>
      </c>
      <c r="C23" s="56" t="s">
        <v>23</v>
      </c>
      <c r="D23" s="139"/>
      <c r="E23" s="139"/>
      <c r="F23" s="139"/>
      <c r="G23" s="140"/>
      <c r="H23" s="57" t="s">
        <v>24</v>
      </c>
      <c r="I23" s="139"/>
      <c r="J23" s="139"/>
      <c r="K23" s="139"/>
      <c r="L23" s="140"/>
      <c r="M23" s="57" t="s">
        <v>270</v>
      </c>
      <c r="N23" s="139"/>
      <c r="O23" s="139"/>
      <c r="P23" s="139"/>
      <c r="Q23" s="140"/>
      <c r="S23" s="38" t="s">
        <v>3</v>
      </c>
      <c r="T23" s="38" t="s">
        <v>7</v>
      </c>
      <c r="U23" s="38" t="s">
        <v>12</v>
      </c>
      <c r="V23" s="38" t="s">
        <v>9</v>
      </c>
    </row>
    <row r="24" spans="1:27">
      <c r="B24" s="59" t="s">
        <v>17</v>
      </c>
      <c r="C24" s="75"/>
      <c r="D24" s="75"/>
      <c r="E24" s="75"/>
      <c r="F24" s="114"/>
      <c r="G24" s="115">
        <f>SUM(C24:F24)</f>
        <v>0</v>
      </c>
      <c r="H24" s="75">
        <f>'ERT Summary'!$E$9</f>
        <v>0</v>
      </c>
      <c r="I24" s="75">
        <f>'ERT Summary'!$H$9</f>
        <v>0</v>
      </c>
      <c r="J24" s="75">
        <f>'ERT Summary'!$K$9</f>
        <v>550.7515535275212</v>
      </c>
      <c r="K24" s="114"/>
      <c r="L24" s="115">
        <f>SUM(H24:K24)</f>
        <v>550.7515535275212</v>
      </c>
      <c r="M24" s="261"/>
      <c r="N24" s="261"/>
      <c r="O24" s="261">
        <f>'ERT Summary'!K9+U24</f>
        <v>1245.1301143463238</v>
      </c>
      <c r="P24" s="114"/>
      <c r="Q24" s="115">
        <f>SUM(M24:P24)</f>
        <v>1245.1301143463238</v>
      </c>
      <c r="S24" s="353">
        <v>3780.9130204509702</v>
      </c>
      <c r="T24" s="354">
        <v>3108.0471013781421</v>
      </c>
      <c r="U24" s="354">
        <f>'ERT Summary'!E23/1000000</f>
        <v>694.37856081880273</v>
      </c>
      <c r="V24" s="355"/>
      <c r="X24" s="363"/>
      <c r="Y24" s="363"/>
      <c r="Z24" s="363"/>
      <c r="AA24" s="448"/>
    </row>
    <row r="25" spans="1:27">
      <c r="B25" s="59" t="s">
        <v>5</v>
      </c>
      <c r="C25" s="75"/>
      <c r="D25" s="75"/>
      <c r="E25" s="75"/>
      <c r="F25" s="114"/>
      <c r="G25" s="115">
        <f>SUM(C25:F25)</f>
        <v>0</v>
      </c>
      <c r="H25" s="75">
        <f>'ERT Summary'!$E$10</f>
        <v>0</v>
      </c>
      <c r="I25" s="75">
        <f>'ERT Summary'!$H$10</f>
        <v>0</v>
      </c>
      <c r="J25" s="75">
        <f>'ERT Summary'!$K$10</f>
        <v>118.12037965056193</v>
      </c>
      <c r="K25" s="114"/>
      <c r="L25" s="115"/>
      <c r="M25" s="261"/>
      <c r="N25" s="261"/>
      <c r="O25" s="261">
        <f>'ERT Summary'!K10+U25</f>
        <v>241.34395582126965</v>
      </c>
      <c r="P25" s="114"/>
      <c r="Q25" s="115">
        <f>SUM(M25:P25)</f>
        <v>241.34395582126965</v>
      </c>
      <c r="S25" s="356">
        <v>622.11391688472963</v>
      </c>
      <c r="T25" s="357">
        <v>558.10867733239058</v>
      </c>
      <c r="U25" s="357">
        <f>'ERT Summary'!F23/1000</f>
        <v>123.22357617070772</v>
      </c>
      <c r="V25" s="358"/>
      <c r="X25" s="363"/>
      <c r="Y25" s="363"/>
      <c r="Z25" s="363"/>
      <c r="AA25" s="448"/>
    </row>
    <row r="26" spans="1:27" ht="13.5" thickBot="1">
      <c r="B26" s="68" t="s">
        <v>18</v>
      </c>
      <c r="C26" s="116"/>
      <c r="D26" s="117"/>
      <c r="E26" s="118"/>
      <c r="F26" s="118"/>
      <c r="G26" s="119">
        <f>SUM(C26:F26)</f>
        <v>0</v>
      </c>
      <c r="H26" s="116">
        <f>'ERT Summary'!$E$11</f>
        <v>0</v>
      </c>
      <c r="I26" s="117"/>
      <c r="J26" s="118">
        <f>'ERT Summary'!$K$11</f>
        <v>3.3192143780722021</v>
      </c>
      <c r="K26" s="118">
        <f>'ERT Summary'!$N$11</f>
        <v>20.74293382669039</v>
      </c>
      <c r="L26" s="119">
        <f>SUM(H26:K26)</f>
        <v>24.062148204762593</v>
      </c>
      <c r="M26" s="284"/>
      <c r="N26" s="117"/>
      <c r="O26" s="263">
        <f>'ERT Summary'!K11+U26</f>
        <v>9.9514147806781104</v>
      </c>
      <c r="P26" s="263">
        <f>'ERT Summary'!$N$11+V26</f>
        <v>86.462811792776051</v>
      </c>
      <c r="Q26" s="119">
        <f>SUM(M26:P26)</f>
        <v>96.414226573454158</v>
      </c>
      <c r="S26" s="359">
        <v>64.78286497472628</v>
      </c>
      <c r="T26" s="360"/>
      <c r="U26" s="360">
        <f>'ERT Summary'!G23/1000000</f>
        <v>6.6322004026059078</v>
      </c>
      <c r="V26" s="361">
        <f>'ERT Summary'!G43/1000000</f>
        <v>65.719877966085662</v>
      </c>
      <c r="X26" s="448"/>
      <c r="Y26" s="363"/>
      <c r="Z26" s="363"/>
      <c r="AA26" s="449"/>
    </row>
    <row r="27" spans="1:27" ht="5.0999999999999996" customHeight="1">
      <c r="B27" s="74"/>
      <c r="C27" s="75"/>
      <c r="D27" s="75"/>
      <c r="E27" s="75"/>
      <c r="F27" s="75"/>
      <c r="G27" s="115"/>
      <c r="H27" s="75"/>
      <c r="I27" s="75"/>
      <c r="J27" s="75"/>
      <c r="K27" s="75"/>
      <c r="L27" s="115"/>
      <c r="M27" s="75"/>
      <c r="N27" s="75"/>
      <c r="O27" s="75"/>
      <c r="P27" s="75"/>
      <c r="Q27" s="115"/>
      <c r="Y27" s="362"/>
      <c r="Z27" s="362"/>
      <c r="AA27" s="362"/>
    </row>
    <row r="28" spans="1:27">
      <c r="B28" s="142" t="s">
        <v>25</v>
      </c>
      <c r="C28" s="143" t="s">
        <v>23</v>
      </c>
      <c r="D28" s="144"/>
      <c r="E28" s="144"/>
      <c r="F28" s="144"/>
      <c r="G28" s="145"/>
      <c r="H28" s="146" t="s">
        <v>24</v>
      </c>
      <c r="I28" s="144"/>
      <c r="J28" s="144"/>
      <c r="K28" s="144"/>
      <c r="L28" s="145"/>
      <c r="M28" s="146" t="s">
        <v>277</v>
      </c>
      <c r="N28" s="144"/>
      <c r="O28" s="144"/>
      <c r="P28" s="144"/>
      <c r="Q28" s="145"/>
      <c r="Y28" s="362"/>
      <c r="Z28" s="362"/>
      <c r="AA28" s="362"/>
    </row>
    <row r="29" spans="1:27">
      <c r="B29" s="59" t="s">
        <v>17</v>
      </c>
      <c r="C29" s="75">
        <f>'Pre-06 C&amp;S Tables'!I6+'Pre-06 C&amp;S Tables'!I10</f>
        <v>69.199999999999989</v>
      </c>
      <c r="D29" s="75">
        <f>'Pre-06 C&amp;S Tables'!I8+'Pre-06 C&amp;S Tables'!I12</f>
        <v>69.3</v>
      </c>
      <c r="E29" s="75">
        <f>'Pre-06 C&amp;S Tables'!I7+'Pre-06 C&amp;S Tables'!I11</f>
        <v>16.2</v>
      </c>
      <c r="F29" s="114"/>
      <c r="G29" s="115">
        <f>SUM(C29:F29)</f>
        <v>154.69999999999999</v>
      </c>
      <c r="H29" s="75">
        <f t="shared" ref="H29:J30" si="8">C29</f>
        <v>69.199999999999989</v>
      </c>
      <c r="I29" s="75">
        <f t="shared" si="8"/>
        <v>69.3</v>
      </c>
      <c r="J29" s="75">
        <f t="shared" si="8"/>
        <v>16.2</v>
      </c>
      <c r="K29" s="114"/>
      <c r="L29" s="115">
        <f>SUM(H29:K29)</f>
        <v>154.69999999999999</v>
      </c>
      <c r="M29" s="261"/>
      <c r="N29" s="261"/>
      <c r="O29" s="261">
        <f>'C&amp;S2006-09'!B16</f>
        <v>70</v>
      </c>
      <c r="P29" s="261"/>
      <c r="Q29" s="115">
        <f>SUM(M29:P29)</f>
        <v>70</v>
      </c>
      <c r="S29" s="88"/>
      <c r="T29" s="88"/>
      <c r="U29" s="88"/>
      <c r="V29" s="88"/>
      <c r="W29" s="88"/>
      <c r="X29" s="88"/>
      <c r="Y29" s="88"/>
    </row>
    <row r="30" spans="1:27">
      <c r="B30" s="59" t="s">
        <v>5</v>
      </c>
      <c r="C30" s="141">
        <f>'Pre-06 C&amp;S Tables'!I18+'Pre-06 C&amp;S Tables'!I22</f>
        <v>19.799999999999997</v>
      </c>
      <c r="D30" s="75">
        <f>'Pre-06 C&amp;S Tables'!I20+'Pre-06 C&amp;S Tables'!I24</f>
        <v>18.7</v>
      </c>
      <c r="E30" s="75">
        <f>'Pre-06 C&amp;S Tables'!I19+'Pre-06 C&amp;S Tables'!I23</f>
        <v>4.6999999999999993</v>
      </c>
      <c r="F30" s="114"/>
      <c r="G30" s="115">
        <f>SUM(C30:F30)</f>
        <v>43.2</v>
      </c>
      <c r="H30" s="141">
        <f t="shared" si="8"/>
        <v>19.799999999999997</v>
      </c>
      <c r="I30" s="141">
        <f t="shared" si="8"/>
        <v>18.7</v>
      </c>
      <c r="J30" s="141">
        <f t="shared" si="8"/>
        <v>4.6999999999999993</v>
      </c>
      <c r="K30" s="114"/>
      <c r="L30" s="115">
        <f>SUM(H30:K30)</f>
        <v>43.2</v>
      </c>
      <c r="M30" s="262"/>
      <c r="N30" s="261"/>
      <c r="O30" s="261">
        <f>'C&amp;S2006-09'!D16</f>
        <v>12.8</v>
      </c>
      <c r="P30" s="261"/>
      <c r="Q30" s="115">
        <f>SUM(M30:P30)</f>
        <v>12.8</v>
      </c>
      <c r="S30" s="451"/>
      <c r="T30" s="451"/>
      <c r="U30" s="451"/>
      <c r="V30" s="451"/>
      <c r="W30" s="451"/>
      <c r="X30" s="451"/>
      <c r="Y30" s="396"/>
      <c r="Z30" s="184"/>
      <c r="AA30" s="184"/>
    </row>
    <row r="31" spans="1:27">
      <c r="B31" s="68" t="s">
        <v>18</v>
      </c>
      <c r="C31" s="118">
        <f>'Pre-06 C&amp;S Tables'!I30+'Pre-06 C&amp;S Tables'!I34</f>
        <v>1.9</v>
      </c>
      <c r="D31" s="117"/>
      <c r="E31" s="118">
        <f>'Pre-06 C&amp;S Tables'!I31+'Pre-06 C&amp;S Tables'!I35</f>
        <v>0.2</v>
      </c>
      <c r="F31" s="118">
        <f>'Pre-06 C&amp;S Tables'!I33+'Pre-06 C&amp;S Tables'!I37</f>
        <v>3.1</v>
      </c>
      <c r="G31" s="119">
        <f>SUM(C31:F31)</f>
        <v>5.2</v>
      </c>
      <c r="H31" s="118">
        <f>C31</f>
        <v>1.9</v>
      </c>
      <c r="I31" s="117"/>
      <c r="J31" s="118">
        <f>E31</f>
        <v>0.2</v>
      </c>
      <c r="K31" s="118">
        <f>F31</f>
        <v>3.1</v>
      </c>
      <c r="L31" s="119">
        <f>SUM(H31:K31)</f>
        <v>5.2</v>
      </c>
      <c r="M31" s="263"/>
      <c r="N31" s="263"/>
      <c r="O31" s="263">
        <f>'C&amp;S2006-09'!F16</f>
        <v>0.34</v>
      </c>
      <c r="P31" s="263">
        <f>'C&amp;S2006-09'!F28</f>
        <v>4.5999999999999996</v>
      </c>
      <c r="Q31" s="119">
        <f>SUM(M31:P31)</f>
        <v>4.9399999999999995</v>
      </c>
      <c r="S31" s="447"/>
      <c r="T31" s="447"/>
      <c r="U31" s="447"/>
      <c r="V31" s="447"/>
      <c r="W31" s="447"/>
      <c r="X31" s="447"/>
      <c r="Y31" s="396"/>
      <c r="Z31" s="184"/>
      <c r="AA31" s="184"/>
    </row>
    <row r="32" spans="1:27" ht="5.0999999999999996" customHeight="1">
      <c r="B32" s="59"/>
      <c r="C32" s="75"/>
      <c r="D32" s="75"/>
      <c r="E32" s="75"/>
      <c r="F32" s="75"/>
      <c r="G32" s="115"/>
      <c r="H32" s="75"/>
      <c r="I32" s="75"/>
      <c r="J32" s="75"/>
      <c r="K32" s="75"/>
      <c r="L32" s="115"/>
      <c r="M32" s="75"/>
      <c r="N32" s="75"/>
      <c r="O32" s="75"/>
      <c r="P32" s="75"/>
      <c r="Q32" s="115"/>
      <c r="S32" s="396"/>
      <c r="T32" s="396"/>
      <c r="U32" s="396"/>
      <c r="V32" s="396"/>
      <c r="W32" s="396"/>
      <c r="X32" s="396"/>
      <c r="Y32" s="396"/>
      <c r="Z32" s="184"/>
      <c r="AA32" s="184"/>
    </row>
    <row r="33" spans="2:27" hidden="1">
      <c r="B33" s="337" t="s">
        <v>26</v>
      </c>
      <c r="C33" s="338"/>
      <c r="D33" s="339"/>
      <c r="E33" s="339"/>
      <c r="F33" s="339"/>
      <c r="G33" s="340"/>
      <c r="H33" s="341" t="s">
        <v>27</v>
      </c>
      <c r="I33" s="339"/>
      <c r="J33" s="339"/>
      <c r="K33" s="339"/>
      <c r="L33" s="340"/>
      <c r="M33" s="341" t="s">
        <v>27</v>
      </c>
      <c r="N33" s="339"/>
      <c r="O33" s="339"/>
      <c r="P33" s="339"/>
      <c r="Q33" s="340"/>
      <c r="S33" s="396"/>
      <c r="T33" s="396"/>
      <c r="U33" s="396"/>
      <c r="V33" s="396"/>
      <c r="W33" s="396"/>
      <c r="X33" s="396"/>
      <c r="Y33" s="396"/>
      <c r="Z33" s="184"/>
      <c r="AA33" s="184"/>
    </row>
    <row r="34" spans="2:27" hidden="1">
      <c r="B34" s="342" t="s">
        <v>17</v>
      </c>
      <c r="C34" s="343">
        <f>'04-05 EE Tables'!B5</f>
        <v>998.17060950105031</v>
      </c>
      <c r="D34" s="343">
        <f>'04-05 EE Tables'!B16</f>
        <v>1497.9157626778292</v>
      </c>
      <c r="E34" s="343">
        <f>'04-05 EE Tables'!B25</f>
        <v>342.58511520167167</v>
      </c>
      <c r="F34" s="344"/>
      <c r="G34" s="345">
        <f>SUM(C34:F34)</f>
        <v>2838.6714873805513</v>
      </c>
      <c r="H34" s="343">
        <f t="shared" ref="H34:J35" si="9">C34</f>
        <v>998.17060950105031</v>
      </c>
      <c r="I34" s="343">
        <f t="shared" si="9"/>
        <v>1497.9157626778292</v>
      </c>
      <c r="J34" s="343">
        <f t="shared" si="9"/>
        <v>342.58511520167167</v>
      </c>
      <c r="K34" s="344"/>
      <c r="L34" s="345">
        <f>SUM(H34:K34)</f>
        <v>2838.6714873805513</v>
      </c>
      <c r="M34" s="346"/>
      <c r="N34" s="346"/>
      <c r="O34" s="346"/>
      <c r="P34" s="344"/>
      <c r="Q34" s="345">
        <f>SUM(M34:P34)</f>
        <v>0</v>
      </c>
      <c r="S34" s="396"/>
      <c r="T34" s="396"/>
      <c r="U34" s="396"/>
      <c r="V34" s="396"/>
      <c r="W34" s="396"/>
      <c r="X34" s="396"/>
      <c r="Y34" s="396"/>
      <c r="Z34" s="184"/>
      <c r="AA34" s="184"/>
    </row>
    <row r="35" spans="2:27" hidden="1">
      <c r="B35" s="342" t="s">
        <v>5</v>
      </c>
      <c r="C35" s="343">
        <f>'04-05 EE Tables'!B6</f>
        <v>212.32669807292436</v>
      </c>
      <c r="D35" s="343">
        <f>'04-05 EE Tables'!B17</f>
        <v>270.48766063547998</v>
      </c>
      <c r="E35" s="343">
        <f>'04-05 EE Tables'!B26</f>
        <v>59.271827595281579</v>
      </c>
      <c r="F35" s="344"/>
      <c r="G35" s="345">
        <f>SUM(C35:F35)</f>
        <v>542.08618630368596</v>
      </c>
      <c r="H35" s="343">
        <f t="shared" si="9"/>
        <v>212.32669807292436</v>
      </c>
      <c r="I35" s="343">
        <f t="shared" si="9"/>
        <v>270.48766063547998</v>
      </c>
      <c r="J35" s="343">
        <f t="shared" si="9"/>
        <v>59.271827595281579</v>
      </c>
      <c r="K35" s="344"/>
      <c r="L35" s="345">
        <f>SUM(H35:K35)</f>
        <v>542.08618630368596</v>
      </c>
      <c r="M35" s="346"/>
      <c r="N35" s="346"/>
      <c r="O35" s="346"/>
      <c r="P35" s="344"/>
      <c r="Q35" s="345">
        <f>SUM(M35:P35)</f>
        <v>0</v>
      </c>
      <c r="S35" s="396"/>
      <c r="T35" s="396"/>
      <c r="U35" s="396"/>
      <c r="V35" s="396"/>
      <c r="W35" s="396"/>
      <c r="X35" s="396"/>
      <c r="Y35" s="396"/>
      <c r="Z35" s="184"/>
      <c r="AA35" s="184"/>
    </row>
    <row r="36" spans="2:27" hidden="1">
      <c r="B36" s="347" t="s">
        <v>18</v>
      </c>
      <c r="C36" s="348">
        <f>'04-05 EE Tables'!B7</f>
        <v>19.053140110179147</v>
      </c>
      <c r="D36" s="349"/>
      <c r="E36" s="348">
        <f>'04-05 EE Tables'!B27</f>
        <v>4.5458237515723861</v>
      </c>
      <c r="F36" s="348">
        <f>'04-05 EE Tables'!B38</f>
        <v>11.108797321145177</v>
      </c>
      <c r="G36" s="350">
        <f>SUM(C36:F36)</f>
        <v>34.707761182896711</v>
      </c>
      <c r="H36" s="348">
        <f>C36</f>
        <v>19.053140110179147</v>
      </c>
      <c r="I36" s="349"/>
      <c r="J36" s="348">
        <f>E36</f>
        <v>4.5458237515723861</v>
      </c>
      <c r="K36" s="348">
        <f>F36</f>
        <v>11.108797321145177</v>
      </c>
      <c r="L36" s="350">
        <f>SUM(H36:K36)</f>
        <v>34.707761182896711</v>
      </c>
      <c r="M36" s="346"/>
      <c r="N36" s="349"/>
      <c r="O36" s="346"/>
      <c r="P36" s="351"/>
      <c r="Q36" s="350">
        <f>SUM(M36:P36)</f>
        <v>0</v>
      </c>
      <c r="S36" s="396"/>
      <c r="T36" s="396"/>
      <c r="U36" s="396"/>
      <c r="V36" s="396"/>
      <c r="W36" s="396"/>
      <c r="X36" s="396"/>
      <c r="Y36" s="396"/>
      <c r="Z36" s="184"/>
      <c r="AA36" s="184"/>
    </row>
    <row r="37" spans="2:27" ht="5.0999999999999996" hidden="1" customHeight="1">
      <c r="B37" s="74"/>
      <c r="C37" s="75"/>
      <c r="D37" s="75"/>
      <c r="E37" s="75"/>
      <c r="F37" s="75"/>
      <c r="G37" s="115"/>
      <c r="H37" s="75"/>
      <c r="I37" s="75"/>
      <c r="J37" s="75"/>
      <c r="K37" s="75"/>
      <c r="L37" s="115"/>
      <c r="M37" s="75"/>
      <c r="N37" s="75"/>
      <c r="O37" s="75"/>
      <c r="P37" s="75"/>
      <c r="Q37" s="115"/>
      <c r="S37" s="396"/>
      <c r="T37" s="396"/>
      <c r="U37" s="396"/>
      <c r="V37" s="396"/>
      <c r="W37" s="396"/>
      <c r="X37" s="396"/>
      <c r="Y37" s="396"/>
      <c r="Z37" s="184"/>
      <c r="AA37" s="184"/>
    </row>
    <row r="38" spans="2:27">
      <c r="B38" s="142" t="s">
        <v>28</v>
      </c>
      <c r="C38" s="143" t="s">
        <v>15</v>
      </c>
      <c r="D38" s="144"/>
      <c r="E38" s="144"/>
      <c r="F38" s="144"/>
      <c r="G38" s="145"/>
      <c r="H38" s="146" t="s">
        <v>16</v>
      </c>
      <c r="I38" s="144"/>
      <c r="J38" s="144"/>
      <c r="K38" s="144"/>
      <c r="L38" s="145"/>
      <c r="M38" s="146" t="s">
        <v>243</v>
      </c>
      <c r="N38" s="144"/>
      <c r="O38" s="144"/>
      <c r="P38" s="144"/>
      <c r="Q38" s="145"/>
      <c r="S38" s="446"/>
      <c r="T38" s="446"/>
      <c r="U38" s="446"/>
      <c r="V38" s="446"/>
      <c r="W38" s="396"/>
      <c r="X38" s="396"/>
      <c r="Y38" s="396"/>
      <c r="Z38" s="184"/>
      <c r="AA38" s="184"/>
    </row>
    <row r="39" spans="2:27">
      <c r="B39" s="59" t="s">
        <v>17</v>
      </c>
      <c r="C39" s="75">
        <f>SUM('04-09 LIEE Tables'!H6:H10)</f>
        <v>123.48600300000001</v>
      </c>
      <c r="D39" s="75">
        <f>SUM('04-09 LIEE Tables'!H13:H17)</f>
        <v>107.10773599999999</v>
      </c>
      <c r="E39" s="75">
        <f>SUM('04-09 LIEE Tables'!H20:H24)</f>
        <v>27.760980999999997</v>
      </c>
      <c r="F39" s="114"/>
      <c r="G39" s="115">
        <f>SUM(C39:F39)</f>
        <v>258.35471999999999</v>
      </c>
      <c r="H39" s="75">
        <f t="shared" ref="H39:J40" si="10">C39</f>
        <v>123.48600300000001</v>
      </c>
      <c r="I39" s="75">
        <f t="shared" si="10"/>
        <v>107.10773599999999</v>
      </c>
      <c r="J39" s="75">
        <f t="shared" si="10"/>
        <v>27.760980999999997</v>
      </c>
      <c r="K39" s="114"/>
      <c r="L39" s="115">
        <f>SUM(H39:K39)</f>
        <v>258.35471999999999</v>
      </c>
      <c r="M39" s="282"/>
      <c r="N39" s="260"/>
      <c r="O39" s="260">
        <f>SUM('04-09 LIEE Tables'!H22:H25)</f>
        <v>20.873981000000001</v>
      </c>
      <c r="P39" s="114"/>
      <c r="Q39" s="115">
        <f>SUM(M39:P39)</f>
        <v>20.873981000000001</v>
      </c>
      <c r="S39" s="446"/>
      <c r="T39" s="446"/>
      <c r="U39" s="446"/>
      <c r="V39" s="446"/>
      <c r="W39" s="396"/>
      <c r="X39" s="396"/>
      <c r="Y39" s="396"/>
      <c r="Z39" s="184"/>
      <c r="AA39" s="184"/>
    </row>
    <row r="40" spans="2:27">
      <c r="B40" s="59" t="s">
        <v>5</v>
      </c>
      <c r="C40" s="75">
        <f>SUM('04-09 LIEE Tables'!I6:I10)</f>
        <v>24.9258459694327</v>
      </c>
      <c r="D40" s="75">
        <f>SUM('04-09 LIEE Tables'!I13:I17)</f>
        <v>22.255592528347172</v>
      </c>
      <c r="E40" s="75">
        <f>SUM('04-09 LIEE Tables'!I20:I24)</f>
        <v>6.9152693234670384</v>
      </c>
      <c r="F40" s="114"/>
      <c r="G40" s="115">
        <f>SUM(C40:F40)</f>
        <v>54.096707821246909</v>
      </c>
      <c r="H40" s="75">
        <f t="shared" si="10"/>
        <v>24.9258459694327</v>
      </c>
      <c r="I40" s="75">
        <f t="shared" si="10"/>
        <v>22.255592528347172</v>
      </c>
      <c r="J40" s="75">
        <f t="shared" si="10"/>
        <v>6.9152693234670384</v>
      </c>
      <c r="K40" s="114"/>
      <c r="L40" s="115">
        <f>SUM(H40:K40)</f>
        <v>54.096707821246909</v>
      </c>
      <c r="M40" s="283"/>
      <c r="N40" s="261"/>
      <c r="O40" s="261">
        <f>SUM('04-09 LIEE Tables'!I22:I25)</f>
        <v>5.1235122178159296</v>
      </c>
      <c r="P40" s="114"/>
      <c r="Q40" s="115">
        <f>SUM(M40:P40)</f>
        <v>5.1235122178159296</v>
      </c>
      <c r="S40" s="446"/>
      <c r="T40" s="446"/>
      <c r="U40" s="446"/>
      <c r="V40" s="446"/>
      <c r="W40" s="396"/>
      <c r="X40" s="396"/>
      <c r="Y40" s="396"/>
      <c r="Z40" s="184"/>
      <c r="AA40" s="184"/>
    </row>
    <row r="41" spans="2:27">
      <c r="B41" s="68" t="s">
        <v>18</v>
      </c>
      <c r="C41" s="116">
        <f>SUM('04-09 LIEE Tables'!J6:J10)</f>
        <v>5.6876749999999996</v>
      </c>
      <c r="D41" s="117"/>
      <c r="E41" s="118">
        <f>SUM('04-09 LIEE Tables'!J20:J24)</f>
        <v>1.2417420000000001</v>
      </c>
      <c r="F41" s="118">
        <f>SUM('04-09 LIEE Tables'!J27:J31)</f>
        <v>4.6342949999999998</v>
      </c>
      <c r="G41" s="119">
        <f>SUM(C41:F41)</f>
        <v>11.563711999999999</v>
      </c>
      <c r="H41" s="118">
        <f>C41</f>
        <v>5.6876749999999996</v>
      </c>
      <c r="I41" s="117"/>
      <c r="J41" s="118">
        <f>E41</f>
        <v>1.2417420000000001</v>
      </c>
      <c r="K41" s="118">
        <f>F41</f>
        <v>4.6342949999999998</v>
      </c>
      <c r="L41" s="119">
        <f>SUM(H41:K41)</f>
        <v>11.563711999999999</v>
      </c>
      <c r="M41" s="284"/>
      <c r="N41" s="117"/>
      <c r="O41" s="263">
        <f>SUM('04-09 LIEE Tables'!J22:J25)</f>
        <v>0.978742</v>
      </c>
      <c r="P41" s="263">
        <f>'04-09 LIEE Tables'!J32</f>
        <v>0.71176799999999996</v>
      </c>
      <c r="Q41" s="119">
        <f>SUM(M41:P41)</f>
        <v>1.69051</v>
      </c>
      <c r="S41" s="88"/>
      <c r="T41" s="88"/>
      <c r="U41" s="88"/>
      <c r="V41" s="88"/>
      <c r="W41" s="88"/>
      <c r="X41" s="88"/>
      <c r="Y41" s="88"/>
    </row>
    <row r="42" spans="2:27" ht="5.0999999999999996" customHeight="1" thickBot="1">
      <c r="B42" s="147"/>
      <c r="C42" s="148"/>
      <c r="D42" s="148"/>
      <c r="E42" s="148"/>
      <c r="F42" s="148"/>
      <c r="G42" s="149"/>
      <c r="H42" s="148"/>
      <c r="I42" s="148"/>
      <c r="J42" s="148"/>
      <c r="K42" s="148"/>
      <c r="L42" s="149"/>
      <c r="M42" s="148"/>
      <c r="N42" s="148"/>
      <c r="O42" s="148"/>
      <c r="P42" s="148"/>
      <c r="Q42" s="149"/>
    </row>
    <row r="43" spans="2:27" ht="16.5" thickTop="1">
      <c r="B43" s="150" t="s">
        <v>29</v>
      </c>
      <c r="C43" s="151" t="s">
        <v>15</v>
      </c>
      <c r="D43" s="152"/>
      <c r="E43" s="152"/>
      <c r="F43" s="152"/>
      <c r="G43" s="153"/>
      <c r="H43" s="151" t="s">
        <v>16</v>
      </c>
      <c r="I43" s="152"/>
      <c r="J43" s="152"/>
      <c r="K43" s="152"/>
      <c r="L43" s="153"/>
      <c r="M43" s="151" t="s">
        <v>243</v>
      </c>
      <c r="N43" s="152"/>
      <c r="O43" s="152"/>
      <c r="P43" s="152"/>
      <c r="Q43" s="153"/>
    </row>
    <row r="44" spans="2:27">
      <c r="B44" s="74" t="s">
        <v>17</v>
      </c>
      <c r="C44" s="75">
        <f t="shared" ref="C44:F46" si="11">C24+C29+C34+C39</f>
        <v>1190.8566125010502</v>
      </c>
      <c r="D44" s="75">
        <f t="shared" si="11"/>
        <v>1674.3234986778291</v>
      </c>
      <c r="E44" s="75">
        <f t="shared" si="11"/>
        <v>386.54609620167167</v>
      </c>
      <c r="F44" s="75">
        <f t="shared" si="11"/>
        <v>0</v>
      </c>
      <c r="G44" s="115">
        <f>SUM(C44:F44)</f>
        <v>3251.7262073805509</v>
      </c>
      <c r="H44" s="75">
        <f t="shared" ref="H44:K46" si="12">H24+H29+H34+H39</f>
        <v>1190.8566125010502</v>
      </c>
      <c r="I44" s="75">
        <f t="shared" si="12"/>
        <v>1674.3234986778291</v>
      </c>
      <c r="J44" s="75">
        <f t="shared" si="12"/>
        <v>937.29764972919293</v>
      </c>
      <c r="K44" s="75">
        <f t="shared" si="12"/>
        <v>0</v>
      </c>
      <c r="L44" s="115">
        <f>SUM(H44:K44)</f>
        <v>3802.477760908072</v>
      </c>
      <c r="M44" s="75">
        <f t="shared" ref="M44:P46" si="13">M24+M29+M34+M39</f>
        <v>0</v>
      </c>
      <c r="N44" s="75">
        <f t="shared" si="13"/>
        <v>0</v>
      </c>
      <c r="O44" s="75">
        <f t="shared" si="13"/>
        <v>1336.0040953463238</v>
      </c>
      <c r="P44" s="75">
        <f t="shared" si="13"/>
        <v>0</v>
      </c>
      <c r="Q44" s="115">
        <f>SUM(M44:P44)</f>
        <v>1336.0040953463238</v>
      </c>
    </row>
    <row r="45" spans="2:27">
      <c r="B45" s="74" t="s">
        <v>5</v>
      </c>
      <c r="C45" s="75">
        <f t="shared" si="11"/>
        <v>257.05254404235706</v>
      </c>
      <c r="D45" s="75">
        <f t="shared" si="11"/>
        <v>311.44325316382714</v>
      </c>
      <c r="E45" s="75">
        <f t="shared" si="11"/>
        <v>70.887096918748625</v>
      </c>
      <c r="F45" s="75">
        <f t="shared" si="11"/>
        <v>0</v>
      </c>
      <c r="G45" s="115">
        <f>SUM(C45:F45)</f>
        <v>639.38289412493282</v>
      </c>
      <c r="H45" s="75">
        <f t="shared" si="12"/>
        <v>257.05254404235706</v>
      </c>
      <c r="I45" s="75">
        <f t="shared" si="12"/>
        <v>311.44325316382714</v>
      </c>
      <c r="J45" s="75">
        <f t="shared" si="12"/>
        <v>189.00747656931054</v>
      </c>
      <c r="K45" s="75">
        <f t="shared" si="12"/>
        <v>0</v>
      </c>
      <c r="L45" s="115">
        <f>SUM(H45:K45)</f>
        <v>757.50327377549479</v>
      </c>
      <c r="M45" s="75">
        <f t="shared" si="13"/>
        <v>0</v>
      </c>
      <c r="N45" s="75">
        <f t="shared" si="13"/>
        <v>0</v>
      </c>
      <c r="O45" s="75">
        <f t="shared" si="13"/>
        <v>259.2674680390856</v>
      </c>
      <c r="P45" s="75">
        <f t="shared" si="13"/>
        <v>0</v>
      </c>
      <c r="Q45" s="115">
        <f>SUM(M45:P45)</f>
        <v>259.2674680390856</v>
      </c>
    </row>
    <row r="46" spans="2:27" ht="13.5" thickBot="1">
      <c r="B46" s="154" t="s">
        <v>18</v>
      </c>
      <c r="C46" s="134">
        <f t="shared" si="11"/>
        <v>26.640815110179144</v>
      </c>
      <c r="D46" s="134">
        <f t="shared" si="11"/>
        <v>0</v>
      </c>
      <c r="E46" s="134">
        <f t="shared" si="11"/>
        <v>5.9875657515723866</v>
      </c>
      <c r="F46" s="134">
        <f t="shared" si="11"/>
        <v>18.843092321145178</v>
      </c>
      <c r="G46" s="135">
        <f>SUM(C46:F46)</f>
        <v>51.471473182896709</v>
      </c>
      <c r="H46" s="134">
        <f t="shared" si="12"/>
        <v>26.640815110179144</v>
      </c>
      <c r="I46" s="134">
        <f t="shared" si="12"/>
        <v>0</v>
      </c>
      <c r="J46" s="134">
        <f t="shared" si="12"/>
        <v>9.3067801296445882</v>
      </c>
      <c r="K46" s="134">
        <f t="shared" si="12"/>
        <v>39.586026147835568</v>
      </c>
      <c r="L46" s="135">
        <f>SUM(H46:K46)</f>
        <v>75.533621387659309</v>
      </c>
      <c r="M46" s="134">
        <f t="shared" si="13"/>
        <v>0</v>
      </c>
      <c r="N46" s="134">
        <f t="shared" si="13"/>
        <v>0</v>
      </c>
      <c r="O46" s="134">
        <f t="shared" si="13"/>
        <v>11.270156780678111</v>
      </c>
      <c r="P46" s="134">
        <f t="shared" si="13"/>
        <v>91.774579792776052</v>
      </c>
      <c r="Q46" s="135">
        <f>SUM(M46:P46)</f>
        <v>103.04473657345416</v>
      </c>
    </row>
    <row r="47" spans="2:27" ht="5.0999999999999996" customHeight="1" thickBot="1">
      <c r="B47" s="155"/>
      <c r="C47" s="75"/>
      <c r="D47" s="75"/>
      <c r="E47" s="75"/>
      <c r="F47" s="75"/>
      <c r="G47" s="137"/>
      <c r="H47" s="75"/>
      <c r="I47" s="75"/>
      <c r="J47" s="75"/>
      <c r="K47" s="75"/>
      <c r="L47" s="137"/>
      <c r="M47" s="75"/>
      <c r="N47" s="75"/>
      <c r="O47" s="75"/>
      <c r="P47" s="75"/>
      <c r="Q47" s="137"/>
    </row>
    <row r="48" spans="2:27" ht="15.75">
      <c r="B48" s="51" t="s">
        <v>30</v>
      </c>
      <c r="C48" s="53"/>
      <c r="D48" s="53"/>
      <c r="E48" s="53"/>
      <c r="F48" s="53"/>
      <c r="G48" s="138"/>
      <c r="H48" s="53"/>
      <c r="I48" s="53"/>
      <c r="J48" s="53"/>
      <c r="K48" s="53"/>
      <c r="L48" s="138"/>
      <c r="M48" s="53"/>
      <c r="N48" s="53"/>
      <c r="O48" s="53"/>
      <c r="P48" s="53"/>
      <c r="Q48" s="138"/>
      <c r="V48" s="286"/>
    </row>
    <row r="49" spans="2:22">
      <c r="B49" s="156" t="s">
        <v>31</v>
      </c>
      <c r="C49" s="157">
        <f t="shared" ref="C49:E50" si="14">C44/C8</f>
        <v>0.36529343941750009</v>
      </c>
      <c r="D49" s="157">
        <f t="shared" si="14"/>
        <v>0.46239257074781248</v>
      </c>
      <c r="E49" s="157">
        <f t="shared" si="14"/>
        <v>0.35064050816552217</v>
      </c>
      <c r="F49" s="158">
        <v>0</v>
      </c>
      <c r="G49" s="159">
        <f t="shared" ref="G49:J50" si="15">G44/G8</f>
        <v>0.40731094613580066</v>
      </c>
      <c r="H49" s="157">
        <f t="shared" si="15"/>
        <v>0.42139299805415792</v>
      </c>
      <c r="I49" s="157">
        <f t="shared" si="15"/>
        <v>0.53407448123694712</v>
      </c>
      <c r="J49" s="157">
        <f t="shared" si="15"/>
        <v>1.4686581788298227</v>
      </c>
      <c r="K49" s="158">
        <v>0</v>
      </c>
      <c r="L49" s="159">
        <f t="shared" ref="L49:O50" si="16">L44/L8</f>
        <v>0.57620283684508311</v>
      </c>
      <c r="M49" s="157"/>
      <c r="N49" s="157"/>
      <c r="O49" s="157">
        <f t="shared" si="16"/>
        <v>1.5923767524985981</v>
      </c>
      <c r="P49" s="158">
        <v>0</v>
      </c>
      <c r="Q49" s="159">
        <f>Q44/Q8</f>
        <v>1.5923767524985981</v>
      </c>
    </row>
    <row r="50" spans="2:22">
      <c r="B50" s="74" t="s">
        <v>32</v>
      </c>
      <c r="C50" s="160">
        <f t="shared" si="14"/>
        <v>0.36306856503157775</v>
      </c>
      <c r="D50" s="160">
        <f t="shared" si="14"/>
        <v>0.40979375416293046</v>
      </c>
      <c r="E50" s="160">
        <f t="shared" si="14"/>
        <v>0.33836323111574523</v>
      </c>
      <c r="F50" s="161">
        <v>0</v>
      </c>
      <c r="G50" s="162">
        <f t="shared" si="15"/>
        <v>0.38115224687030275</v>
      </c>
      <c r="H50" s="160">
        <f t="shared" si="15"/>
        <v>0.41933530838883698</v>
      </c>
      <c r="I50" s="160">
        <f t="shared" si="15"/>
        <v>0.46345722196998085</v>
      </c>
      <c r="J50" s="160">
        <f t="shared" si="15"/>
        <v>1.5454413456198735</v>
      </c>
      <c r="K50" s="161">
        <v>0</v>
      </c>
      <c r="L50" s="162">
        <f t="shared" si="16"/>
        <v>0.53826708859198091</v>
      </c>
      <c r="M50" s="160"/>
      <c r="N50" s="160"/>
      <c r="O50" s="160">
        <f t="shared" si="16"/>
        <v>1.6004164693770715</v>
      </c>
      <c r="P50" s="161">
        <v>0</v>
      </c>
      <c r="Q50" s="162">
        <f>Q45/Q9</f>
        <v>1.6004164693770715</v>
      </c>
      <c r="V50" s="286"/>
    </row>
    <row r="51" spans="2:22" ht="13.5" thickBot="1">
      <c r="B51" s="154" t="s">
        <v>33</v>
      </c>
      <c r="C51" s="163">
        <f>C46/C10</f>
        <v>0.5668258534080669</v>
      </c>
      <c r="D51" s="164">
        <v>0</v>
      </c>
      <c r="E51" s="163">
        <f>E46/E10</f>
        <v>0.6302700791128828</v>
      </c>
      <c r="F51" s="163">
        <f>F46/F10</f>
        <v>0.35352893660685142</v>
      </c>
      <c r="G51" s="165">
        <f>G46/G10</f>
        <v>0.46877480130142724</v>
      </c>
      <c r="H51" s="163">
        <f>H46/H10</f>
        <v>0.95913072833306234</v>
      </c>
      <c r="I51" s="164">
        <v>0</v>
      </c>
      <c r="J51" s="163">
        <f>J46/J10</f>
        <v>1.3062147550378369</v>
      </c>
      <c r="K51" s="163">
        <f>K46/K10</f>
        <v>0.6920633941929295</v>
      </c>
      <c r="L51" s="165">
        <f>L46/L10</f>
        <v>0.8201172776371517</v>
      </c>
      <c r="M51" s="163"/>
      <c r="N51" s="164"/>
      <c r="O51" s="163">
        <f>O46/O10</f>
        <v>0.88048099849047734</v>
      </c>
      <c r="P51" s="163">
        <f>P46/P10</f>
        <v>1.092554521342572</v>
      </c>
      <c r="Q51" s="165">
        <f>Q46/Q10</f>
        <v>1.0645117414613032</v>
      </c>
    </row>
    <row r="52" spans="2:22" ht="16.5" thickBot="1">
      <c r="B52" s="166" t="s">
        <v>34</v>
      </c>
      <c r="C52" s="167">
        <f>AVERAGE(C49:C51)</f>
        <v>0.43172928595238158</v>
      </c>
      <c r="D52" s="167">
        <f>AVERAGE(D49:D50)</f>
        <v>0.43609316245537144</v>
      </c>
      <c r="E52" s="167">
        <f>AVERAGE(E49:E51)</f>
        <v>0.4397579394647167</v>
      </c>
      <c r="F52" s="167">
        <f>F51</f>
        <v>0.35352893660685142</v>
      </c>
      <c r="G52" s="168">
        <f>AVERAGE(G49:G51)</f>
        <v>0.41907933143584358</v>
      </c>
      <c r="H52" s="167">
        <f>AVERAGE(H49:H51)</f>
        <v>0.59995301159201908</v>
      </c>
      <c r="I52" s="167">
        <f>AVERAGE(I49:I50)</f>
        <v>0.49876585160346398</v>
      </c>
      <c r="J52" s="167">
        <f>AVERAGE(J49:J51)</f>
        <v>1.4401047598291778</v>
      </c>
      <c r="K52" s="167">
        <f>K51</f>
        <v>0.6920633941929295</v>
      </c>
      <c r="L52" s="168">
        <f>AVERAGE(L49:L51)</f>
        <v>0.64486240102473857</v>
      </c>
      <c r="M52" s="167"/>
      <c r="N52" s="167"/>
      <c r="O52" s="167">
        <f>AVERAGE(O49:O51)</f>
        <v>1.3577580734553825</v>
      </c>
      <c r="P52" s="167">
        <f>P51</f>
        <v>1.092554521342572</v>
      </c>
      <c r="Q52" s="168">
        <f>AVERAGE(Q49:Q51)</f>
        <v>1.4191016544456578</v>
      </c>
    </row>
    <row r="53" spans="2:22" ht="5.0999999999999996" customHeight="1" thickBot="1">
      <c r="B53" s="169"/>
      <c r="C53" s="88"/>
      <c r="D53" s="88"/>
      <c r="E53" s="88"/>
      <c r="F53" s="88"/>
      <c r="G53" s="170"/>
      <c r="H53" s="88"/>
      <c r="I53" s="88"/>
      <c r="J53" s="88"/>
      <c r="K53" s="88"/>
      <c r="L53" s="170"/>
      <c r="M53" s="88"/>
      <c r="N53" s="88"/>
      <c r="O53" s="88"/>
      <c r="P53" s="88"/>
      <c r="Q53" s="170"/>
    </row>
    <row r="54" spans="2:22" ht="15.75">
      <c r="B54" s="51" t="s">
        <v>35</v>
      </c>
      <c r="C54" s="77"/>
      <c r="D54" s="77"/>
      <c r="E54" s="77"/>
      <c r="F54" s="77"/>
      <c r="G54" s="171"/>
      <c r="H54" s="77"/>
      <c r="I54" s="77"/>
      <c r="J54" s="77"/>
      <c r="K54" s="77"/>
      <c r="L54" s="171"/>
      <c r="M54" s="77"/>
      <c r="N54" s="77"/>
      <c r="O54" s="78"/>
      <c r="P54" s="77"/>
      <c r="Q54" s="171"/>
    </row>
    <row r="55" spans="2:22">
      <c r="B55" s="80" t="s">
        <v>36</v>
      </c>
      <c r="C55" s="172"/>
      <c r="D55" s="173"/>
      <c r="E55" s="173"/>
      <c r="F55" s="173"/>
      <c r="G55" s="174">
        <f>SUM(C55:F55)</f>
        <v>0</v>
      </c>
      <c r="H55" s="172">
        <f>'ERT Summary'!$E$14</f>
        <v>0</v>
      </c>
      <c r="I55" s="173">
        <f>'ERT Summary'!$H$14</f>
        <v>0</v>
      </c>
      <c r="J55" s="173">
        <f>'ERT Summary'!$K$14</f>
        <v>200684345.70415986</v>
      </c>
      <c r="K55" s="173">
        <f>'ERT Summary'!$N$14</f>
        <v>20239687.170072854</v>
      </c>
      <c r="L55" s="174">
        <f>SUM(H55:K55)</f>
        <v>220924032.87423271</v>
      </c>
      <c r="M55" s="172">
        <f>'ERT Summary'!$E$14</f>
        <v>0</v>
      </c>
      <c r="N55" s="173">
        <f>'ERT Summary'!$H$14</f>
        <v>0</v>
      </c>
      <c r="O55" s="173">
        <f>'ERT Summary'!$K$14</f>
        <v>200684345.70415986</v>
      </c>
      <c r="P55" s="173">
        <f>'ERT Summary'!$N$14</f>
        <v>20239687.170072854</v>
      </c>
      <c r="Q55" s="174">
        <f>SUM(M55:P55)</f>
        <v>220924032.87423271</v>
      </c>
    </row>
    <row r="56" spans="2:22">
      <c r="B56" s="175" t="s">
        <v>37</v>
      </c>
      <c r="C56" s="176"/>
      <c r="D56" s="176"/>
      <c r="E56" s="176"/>
      <c r="F56" s="176"/>
      <c r="G56" s="177">
        <f>SUM(C56:F56)</f>
        <v>0</v>
      </c>
      <c r="H56" s="176">
        <f>'ERT Summary'!$E$15</f>
        <v>0</v>
      </c>
      <c r="I56" s="176">
        <f>'ERT Summary'!$H$15</f>
        <v>0</v>
      </c>
      <c r="J56" s="176">
        <f>'ERT Summary'!$K$15</f>
        <v>246118336.99357092</v>
      </c>
      <c r="K56" s="176">
        <f>'ERT Summary'!$N$15</f>
        <v>46851514.827926271</v>
      </c>
      <c r="L56" s="177">
        <f>SUM(H56:K56)</f>
        <v>292969851.8214972</v>
      </c>
      <c r="M56" s="176">
        <f>'ERT Summary'!$E$15</f>
        <v>0</v>
      </c>
      <c r="N56" s="176">
        <f>'ERT Summary'!$H$15</f>
        <v>0</v>
      </c>
      <c r="O56" s="176">
        <f>'ERT Summary'!$K$15</f>
        <v>246118336.99357092</v>
      </c>
      <c r="P56" s="176">
        <f>'ERT Summary'!$N$15</f>
        <v>46851514.827926271</v>
      </c>
      <c r="Q56" s="177">
        <f>SUM(M56:P56)</f>
        <v>292969851.8214972</v>
      </c>
    </row>
    <row r="57" spans="2:22">
      <c r="B57" s="178" t="s">
        <v>35</v>
      </c>
      <c r="C57" s="179"/>
      <c r="D57" s="179"/>
      <c r="E57" s="179"/>
      <c r="F57" s="179"/>
      <c r="G57" s="180">
        <f>SUM(C57:F57)</f>
        <v>0</v>
      </c>
      <c r="H57" s="179">
        <f>(2/3*H55)+(1/3*H56)</f>
        <v>0</v>
      </c>
      <c r="I57" s="179">
        <f>(2/3*I55)+(1/3*I56)</f>
        <v>0</v>
      </c>
      <c r="J57" s="179">
        <f>(2/3*J55)+(1/3*J56)</f>
        <v>215829009.46729687</v>
      </c>
      <c r="K57" s="179">
        <f>(2/3*K55)+(1/3*K56)</f>
        <v>29110296.389357325</v>
      </c>
      <c r="L57" s="180">
        <f>SUM(H57:K57)</f>
        <v>244939305.8566542</v>
      </c>
      <c r="M57" s="179">
        <f>(2/3*M55)+(1/3*M56)</f>
        <v>0</v>
      </c>
      <c r="N57" s="179">
        <f>(2/3*N55)+(1/3*N56)</f>
        <v>0</v>
      </c>
      <c r="O57" s="179">
        <f>(2/3*O55)+(1/3*O56)</f>
        <v>215829009.46729687</v>
      </c>
      <c r="P57" s="179">
        <f>(2/3*P55)+(1/3*P56)</f>
        <v>29110296.389357325</v>
      </c>
      <c r="Q57" s="180">
        <f>SUM(M57:P57)</f>
        <v>244939305.8566542</v>
      </c>
    </row>
    <row r="58" spans="2:22" ht="16.5" thickBot="1">
      <c r="B58" s="181" t="s">
        <v>38</v>
      </c>
      <c r="C58" s="182">
        <f>IF(AND(C52&gt;=0.85,C49&gt;=0.8,C50&gt;=0.8,C51&gt;=0.8),C57,0)</f>
        <v>0</v>
      </c>
      <c r="D58" s="182">
        <f>IF(AND(D52&gt;=0.85,D49&gt;=0.8,D50&gt;=0.8),D57,0)</f>
        <v>0</v>
      </c>
      <c r="E58" s="182">
        <f>IF(AND(E52&gt;=0.85,E49&gt;=0.8,E50&gt;=0.8,E51&gt;=0.8),E57,0)</f>
        <v>0</v>
      </c>
      <c r="F58" s="182">
        <f>IF(F51&gt;=0.8,F57,0)</f>
        <v>0</v>
      </c>
      <c r="G58" s="183">
        <f>SUM(C58:F58)</f>
        <v>0</v>
      </c>
      <c r="H58" s="182">
        <f>IF(AND(H52&gt;=0.85,H49&gt;=0.8,H50&gt;=0.8,H51&gt;=0.8),H57,0)</f>
        <v>0</v>
      </c>
      <c r="I58" s="182">
        <f>IF(AND(I52&gt;=0.85,I49&gt;=0.8,I50&gt;=0.8),I57,0)</f>
        <v>0</v>
      </c>
      <c r="J58" s="182">
        <f>IF(AND(J52&gt;=0.85,J49&gt;=0.8,J50&gt;=0.8,J51&gt;=0.8),J57,0)</f>
        <v>215829009.46729687</v>
      </c>
      <c r="K58" s="182">
        <f>IF(K51&gt;=0.8,K57,0)</f>
        <v>0</v>
      </c>
      <c r="L58" s="183">
        <f>SUM(H58:K58)</f>
        <v>215829009.46729687</v>
      </c>
      <c r="M58" s="259">
        <f>IF(AND(M49&gt;0.65,M50&gt;0.65,M51&gt;0.65),M57,0)</f>
        <v>0</v>
      </c>
      <c r="N58" s="259">
        <f>IF(AND(N49&gt;0.65,N50&gt;0.65),N57,0)</f>
        <v>0</v>
      </c>
      <c r="O58" s="259">
        <f>IF(AND(O51&gt;0.65,O49&gt;0.65,O50&gt;0.65),O57,0)</f>
        <v>215829009.46729687</v>
      </c>
      <c r="P58" s="259">
        <f>IF(P51&gt;0.65,P57,0)</f>
        <v>29110296.389357325</v>
      </c>
      <c r="Q58" s="183">
        <f>SUM(M58:P58)</f>
        <v>244939305.8566542</v>
      </c>
    </row>
    <row r="59" spans="2:22" ht="5.0999999999999996" customHeight="1">
      <c r="B59" s="88"/>
      <c r="C59" s="89"/>
      <c r="D59" s="89"/>
      <c r="E59" s="89"/>
      <c r="F59" s="89"/>
      <c r="G59" s="89"/>
      <c r="H59" s="89"/>
      <c r="I59" s="89"/>
      <c r="J59" s="89"/>
      <c r="K59" s="89"/>
      <c r="L59" s="89"/>
      <c r="M59" s="89"/>
      <c r="N59" s="89"/>
      <c r="O59" s="89"/>
      <c r="P59" s="89"/>
      <c r="Q59" s="89"/>
    </row>
    <row r="60" spans="2:22" s="184" customFormat="1" ht="13.5" hidden="1" thickBot="1">
      <c r="B60" s="185" t="s">
        <v>39</v>
      </c>
      <c r="C60" s="186">
        <v>180000000</v>
      </c>
      <c r="D60" s="186">
        <v>200000000</v>
      </c>
      <c r="E60" s="186">
        <v>50000000</v>
      </c>
      <c r="F60" s="186">
        <v>20000000</v>
      </c>
      <c r="G60" s="187">
        <f>SUM(C60:F60)</f>
        <v>450000000</v>
      </c>
      <c r="H60" s="186">
        <v>180000000</v>
      </c>
      <c r="I60" s="186">
        <v>200000000</v>
      </c>
      <c r="J60" s="186">
        <v>50000000</v>
      </c>
      <c r="K60" s="186">
        <v>20000000</v>
      </c>
      <c r="L60" s="187">
        <f>SUM(H60:K60)</f>
        <v>450000000</v>
      </c>
      <c r="M60" s="186">
        <v>180000000</v>
      </c>
      <c r="N60" s="186">
        <v>200000000</v>
      </c>
      <c r="O60" s="186">
        <v>50000000</v>
      </c>
      <c r="P60" s="186">
        <v>20000000</v>
      </c>
      <c r="Q60" s="187">
        <f>SUM(M60:P60)</f>
        <v>450000000</v>
      </c>
    </row>
    <row r="61" spans="2:22" ht="5.0999999999999996" customHeight="1" thickBot="1">
      <c r="B61" s="88"/>
      <c r="C61" s="188"/>
      <c r="D61" s="188"/>
      <c r="E61" s="188"/>
      <c r="F61" s="188"/>
      <c r="G61" s="188"/>
      <c r="H61" s="188"/>
      <c r="I61" s="188"/>
      <c r="J61" s="188"/>
      <c r="K61" s="188"/>
      <c r="L61" s="188"/>
      <c r="M61" s="188"/>
      <c r="N61" s="188"/>
      <c r="O61" s="188"/>
      <c r="P61" s="188"/>
      <c r="Q61" s="188"/>
    </row>
    <row r="62" spans="2:22" ht="16.5" thickBot="1">
      <c r="B62" s="166" t="s">
        <v>40</v>
      </c>
      <c r="C62" s="189">
        <f>IF(AND(C52&gt;=0.85,C52&lt;1,C58&gt;0),0.09,(IF(OR(C58=0,C52&lt;0.85),0,(IF(AND(C49&gt;=0.95,C50&gt;=0.95,C51&gt;=0.95,C52&gt;=1),0.12,0.09)))))</f>
        <v>0</v>
      </c>
      <c r="D62" s="189">
        <f>IF(AND(D52&gt;=0.85,D52&lt;1,D58&gt;0),0.09,(IF(OR(D58=0,D52&lt;0.85),0,(IF(AND(D49&gt;=0.95,D50&gt;=0.95,C52&gt;=1),0.12,0.09)))))</f>
        <v>0</v>
      </c>
      <c r="E62" s="189">
        <f>IF(AND(E52&gt;=0.85,E52&lt;1,E58&gt;0),0.09,(IF(OR(E58=0,E52&lt;0.85),0,(IF(AND(E49&gt;=0.95,E50&gt;=0.95,E51&gt;=0.95,C52&gt;=1),0.12,0.09)))))</f>
        <v>0</v>
      </c>
      <c r="F62" s="189">
        <f>IF(AND(F52&gt;=0.8,F52&lt;0.95,F58&gt;0),0.09,(IF(OR(F58=0,F52&lt;0.8),0,(IF(F52&gt;=0.95,0.12,0.09)))))</f>
        <v>0</v>
      </c>
      <c r="G62" s="190"/>
      <c r="H62" s="189">
        <f>IF(AND(H52&gt;=0.85,H52&lt;1,H58&gt;0),0.09,(IF(OR(H58=0,H52&lt;0.85),0,(IF(AND(H49&gt;=0.95,H50&gt;=0.95,H51&gt;=0.95),0.12,0.09)))))</f>
        <v>0</v>
      </c>
      <c r="I62" s="189">
        <f>IF(AND(I52&gt;=0.85,I52&lt;1,I58&gt;0),0.09,(IF(OR(I58=0,I52&lt;0.85),0,(IF(AND(I49&gt;=0.95,I50&gt;=0.95),0.12,0.09)))))</f>
        <v>0</v>
      </c>
      <c r="J62" s="189">
        <f>IF(AND(J52&gt;=0.85,J52&lt;1,J58&gt;0),0.09,(IF(OR(J58=0,J52&lt;0.85),0,(IF(AND(J49&gt;=0.95,J50&gt;=0.95,J51&gt;=0.95),0.12,0.09)))))</f>
        <v>0.12</v>
      </c>
      <c r="K62" s="189">
        <f>IF(AND(K52&gt;=0.8,K52&lt;0.95,K58&gt;0),0.09,(IF(OR(K58=0,K52&lt;0.8),0,(IF(K52&gt;=0.95,0.12,0.09)))))</f>
        <v>0</v>
      </c>
      <c r="L62" s="190"/>
      <c r="M62" s="234">
        <f>IF(AND(AND(M49&gt;0.65,M50&gt;0.65,M51&gt;0.65),(OR(M49&lt;=0.8,M50&lt;=0.8,M51&lt;=0.8,M52&lt;=0.85))),0,(IF(AND(M49&gt;0.8,M50&gt;0.8,M51&gt;0.8,M52&gt;0.85),0.07,0)))</f>
        <v>0</v>
      </c>
      <c r="N62" s="234">
        <f>IF(AND(AND(N49&gt;0.65,N50&gt;0.65),(OR(N49&lt;=0.8,N50&lt;=0.8,N52&lt;=0.85))),0,(IF(AND(N49&gt;0.8,N50&gt;0.8,N52&gt;0.85),0.07,0)))</f>
        <v>0</v>
      </c>
      <c r="O62" s="234">
        <f>IF(AND(AND(O49&gt;0.65,O50&gt;0.65,O51&gt;0.65),(OR(O49&lt;=0.8,O50&lt;=0.8,O51&lt;=0.8,O52&lt;=0.85))),0,(IF(AND(O49&gt;0.8,O50&gt;0.8,O51&gt;0.8,O52&gt;0.85),0.07,0)))</f>
        <v>7.0000000000000007E-2</v>
      </c>
      <c r="P62" s="234">
        <f>IF(AND(AND(P51&gt;0.65),(OR(P51&lt;=0.8,P52&lt;=0.85))),0,(IF(AND(P51&gt;0.8,P52&gt;0.85),0.07,0)))</f>
        <v>7.0000000000000007E-2</v>
      </c>
      <c r="Q62" s="190"/>
    </row>
    <row r="63" spans="2:22" ht="5.0999999999999996" customHeight="1" thickBot="1">
      <c r="B63" s="88"/>
      <c r="C63" s="88"/>
      <c r="D63" s="88"/>
      <c r="E63" s="88"/>
      <c r="F63" s="88"/>
      <c r="G63" s="170"/>
      <c r="H63" s="88"/>
      <c r="I63" s="88"/>
      <c r="J63" s="88"/>
      <c r="K63" s="88"/>
      <c r="L63" s="170"/>
      <c r="M63" s="88"/>
      <c r="N63" s="88"/>
      <c r="O63" s="88"/>
      <c r="P63" s="88"/>
      <c r="Q63" s="170"/>
    </row>
    <row r="64" spans="2:22" ht="16.5" thickBot="1">
      <c r="B64" s="166" t="s">
        <v>41</v>
      </c>
      <c r="C64" s="191">
        <f>MINA(C62*C58*0.65,C60)</f>
        <v>0</v>
      </c>
      <c r="D64" s="191">
        <f>MINA(D62*D58*0.65,D60)</f>
        <v>0</v>
      </c>
      <c r="E64" s="191">
        <f>MINA(E62*E58*0.65,E60)</f>
        <v>0</v>
      </c>
      <c r="F64" s="191">
        <f>MINA(F62*F58*0.65,F60)</f>
        <v>0</v>
      </c>
      <c r="G64" s="192">
        <f>SUM(C64:F64)</f>
        <v>0</v>
      </c>
      <c r="H64" s="191">
        <f>MINA(H62*H58*0.65,H60)</f>
        <v>0</v>
      </c>
      <c r="I64" s="191">
        <f>MINA(I62*I58*0.65,I60)</f>
        <v>0</v>
      </c>
      <c r="J64" s="191">
        <f>MINA(J62*J58*0.65,J60)</f>
        <v>16834662.738449156</v>
      </c>
      <c r="K64" s="191">
        <f>MINA(K62*K58*0.65,K60)</f>
        <v>0</v>
      </c>
      <c r="L64" s="192">
        <f>SUM(H64:K64)</f>
        <v>16834662.738449156</v>
      </c>
      <c r="M64" s="231">
        <f>MINA(M62*M58,M60)</f>
        <v>0</v>
      </c>
      <c r="N64" s="231">
        <f>MINA(N62*N58,N60)</f>
        <v>0</v>
      </c>
      <c r="O64" s="231">
        <f>MINA(O62*O58,O60)</f>
        <v>15108030.662710782</v>
      </c>
      <c r="P64" s="231">
        <f>MINA(P62*P58,P60)</f>
        <v>2037720.7472550129</v>
      </c>
      <c r="Q64" s="192">
        <f>SUM(M64:P64)</f>
        <v>17145751.409965795</v>
      </c>
    </row>
    <row r="65" spans="2:17" ht="5.0999999999999996" customHeight="1" thickBot="1">
      <c r="B65" s="88"/>
      <c r="C65" s="88"/>
      <c r="D65" s="88"/>
      <c r="E65" s="88"/>
      <c r="F65" s="88"/>
      <c r="G65" s="170"/>
      <c r="H65" s="88"/>
      <c r="I65" s="88"/>
      <c r="J65" s="88"/>
      <c r="K65" s="88"/>
      <c r="L65" s="170"/>
      <c r="M65" s="232"/>
      <c r="N65" s="232"/>
      <c r="O65" s="232"/>
      <c r="P65" s="232"/>
      <c r="Q65" s="170"/>
    </row>
    <row r="66" spans="2:17" ht="16.5" thickBot="1">
      <c r="B66" s="193" t="s">
        <v>42</v>
      </c>
      <c r="C66" s="194"/>
      <c r="D66" s="194"/>
      <c r="E66" s="194"/>
      <c r="F66" s="194"/>
      <c r="G66" s="195"/>
      <c r="H66" s="194" t="str">
        <f>IF(H52&gt;0,(IF(OR(H55&lt;0,H52&lt;0.65),"YES","NO")),0)</f>
        <v>YES</v>
      </c>
      <c r="I66" s="194" t="str">
        <f>IF(I52&gt;0,(IF(OR(I55&lt;0,I52&lt;0.65),"YES","NO")),0)</f>
        <v>YES</v>
      </c>
      <c r="J66" s="194" t="str">
        <f>IF(J52&gt;0,(IF(OR(J55&lt;0,J52&lt;0.65),"YES","NO")),0)</f>
        <v>NO</v>
      </c>
      <c r="K66" s="194" t="str">
        <f>IF(K52&gt;0,(IF(OR(K55&lt;0,K52&lt;0.65),"YES","NO")),0)</f>
        <v>NO</v>
      </c>
      <c r="L66" s="195"/>
      <c r="M66" s="233"/>
      <c r="N66" s="233"/>
      <c r="O66" s="233" t="str">
        <f>IF(OR(O49&lt;0.65,O50&lt;0.65,O51&lt;0.65),"YES","NO")</f>
        <v>NO</v>
      </c>
      <c r="P66" s="233" t="str">
        <f>IF(P51&lt;0.65,"YES","NO")</f>
        <v>NO</v>
      </c>
      <c r="Q66" s="195"/>
    </row>
    <row r="67" spans="2:17" ht="5.0999999999999996" customHeight="1" thickBot="1">
      <c r="B67" s="88"/>
      <c r="C67" s="88"/>
      <c r="D67" s="88"/>
      <c r="E67" s="88"/>
      <c r="F67" s="88"/>
      <c r="G67" s="170"/>
      <c r="H67" s="88"/>
      <c r="I67" s="88"/>
      <c r="J67" s="88"/>
      <c r="K67" s="88"/>
      <c r="L67" s="170"/>
      <c r="M67" s="88"/>
      <c r="N67" s="88"/>
      <c r="O67" s="88"/>
      <c r="P67" s="88"/>
      <c r="Q67" s="170"/>
    </row>
    <row r="68" spans="2:17" ht="16.5" thickBot="1">
      <c r="B68" s="193" t="s">
        <v>43</v>
      </c>
      <c r="C68" s="196"/>
      <c r="D68" s="196"/>
      <c r="E68" s="196"/>
      <c r="F68" s="196"/>
      <c r="G68" s="197">
        <f>SUM(C68:F68)</f>
        <v>0</v>
      </c>
      <c r="H68" s="196"/>
      <c r="I68" s="196"/>
      <c r="J68" s="196"/>
      <c r="K68" s="196"/>
      <c r="L68" s="197">
        <f>SUM(H68:K68)</f>
        <v>0</v>
      </c>
      <c r="M68" s="255"/>
      <c r="N68" s="255"/>
      <c r="O68" s="255" t="str">
        <f>IF(O66="YES",'Authorized Payments'!G4+MAX(MIN(O58,0),((0.05*(O18-O44))*1000000+(0.45*(O20-O46))*1000000+(20*(O19-O45))*1000)),"No Penalty")</f>
        <v>No Penalty</v>
      </c>
      <c r="P68" s="255" t="str">
        <f>IF(P66="YES",'Authorized Payments'!H4+MAX(MIN(P58,0),((0.05*(P18-P44))*1000000+(0.45*(P20-P46))*1000000+(20*(P19-P45))*1000)),"No Penalty")</f>
        <v>No Penalty</v>
      </c>
      <c r="Q68" s="197">
        <f>SUM(M68:P68)</f>
        <v>0</v>
      </c>
    </row>
    <row r="69" spans="2:17" ht="18" customHeight="1">
      <c r="B69" s="88"/>
      <c r="C69" s="88"/>
      <c r="D69" s="88"/>
      <c r="E69" s="88"/>
      <c r="F69" s="88"/>
      <c r="G69" s="170"/>
      <c r="H69" s="198"/>
      <c r="I69" s="198"/>
      <c r="J69" s="198"/>
      <c r="K69" s="198"/>
      <c r="L69" s="198"/>
      <c r="M69" s="198"/>
      <c r="N69" s="198"/>
      <c r="O69" s="198"/>
      <c r="P69" s="198"/>
      <c r="Q69" s="198"/>
    </row>
    <row r="70" spans="2:17" ht="18" customHeight="1">
      <c r="B70" s="88"/>
      <c r="C70" s="88"/>
      <c r="D70" s="88"/>
      <c r="E70" s="88"/>
      <c r="F70" s="88"/>
      <c r="G70" s="170"/>
      <c r="H70" s="198"/>
      <c r="I70" s="198"/>
      <c r="J70" s="198"/>
      <c r="K70" s="198"/>
      <c r="L70" s="198"/>
      <c r="M70" s="198"/>
      <c r="N70" s="198"/>
      <c r="O70" s="198"/>
      <c r="P70" s="198"/>
      <c r="Q70" s="198"/>
    </row>
    <row r="71" spans="2:17" ht="18" customHeight="1">
      <c r="B71" s="88"/>
      <c r="C71" s="199"/>
      <c r="D71" s="88"/>
      <c r="E71" s="88"/>
      <c r="F71" s="88"/>
      <c r="G71" s="170"/>
      <c r="H71" s="198"/>
      <c r="I71" s="198"/>
      <c r="J71" s="198"/>
      <c r="K71" s="198"/>
      <c r="L71" s="198"/>
      <c r="M71" s="198"/>
      <c r="N71" s="198"/>
      <c r="O71" s="198"/>
      <c r="P71" s="198"/>
      <c r="Q71" s="198"/>
    </row>
  </sheetData>
  <mergeCells count="1">
    <mergeCell ref="S30:X30"/>
  </mergeCells>
  <phoneticPr fontId="7" type="noConversion"/>
  <printOptions horizontalCentered="1"/>
  <pageMargins left="1" right="1" top="0.75" bottom="0.75" header="0.5" footer="0.5"/>
  <pageSetup scale="51" fitToHeight="2" orientation="landscape" horizontalDpi="4294967292" verticalDpi="4294967292" r:id="rId1"/>
  <headerFooter alignWithMargins="0">
    <oddFooter>&amp;L2000 AEAP:  May 1, 2000&amp;CSouthern California Edison&amp;R&amp;D &amp;T</oddFooter>
  </headerFooter>
</worksheet>
</file>

<file path=xl/worksheets/sheet10.xml><?xml version="1.0" encoding="utf-8"?>
<worksheet xmlns="http://schemas.openxmlformats.org/spreadsheetml/2006/main" xmlns:r="http://schemas.openxmlformats.org/officeDocument/2006/relationships">
  <dimension ref="A1:T32"/>
  <sheetViews>
    <sheetView topLeftCell="A4" workbookViewId="0">
      <selection activeCell="M29" sqref="M29"/>
    </sheetView>
  </sheetViews>
  <sheetFormatPr defaultRowHeight="12.75"/>
  <cols>
    <col min="1" max="16384" width="9.140625" style="298"/>
  </cols>
  <sheetData>
    <row r="1" spans="1:20" ht="38.25" customHeight="1">
      <c r="A1" s="469" t="s">
        <v>280</v>
      </c>
      <c r="B1" s="470"/>
      <c r="C1" s="470"/>
      <c r="D1" s="470"/>
      <c r="E1" s="470"/>
      <c r="F1" s="470"/>
      <c r="G1" s="470"/>
      <c r="H1" s="471"/>
      <c r="I1" s="471"/>
      <c r="J1" s="471"/>
      <c r="K1" s="472"/>
      <c r="L1" s="472"/>
      <c r="M1" s="472"/>
      <c r="N1" s="472"/>
      <c r="O1" s="472"/>
      <c r="P1" s="472"/>
      <c r="Q1" s="472"/>
      <c r="R1" s="472"/>
      <c r="S1" s="472"/>
      <c r="T1" s="472"/>
    </row>
    <row r="2" spans="1:20" ht="19.5" thickBot="1">
      <c r="A2" s="473" t="s">
        <v>271</v>
      </c>
      <c r="B2" s="473"/>
      <c r="C2" s="473"/>
      <c r="D2" s="473"/>
      <c r="E2" s="473"/>
      <c r="F2" s="473"/>
      <c r="G2" s="473"/>
      <c r="H2" s="474"/>
      <c r="I2" s="474"/>
      <c r="J2" s="474"/>
    </row>
    <row r="3" spans="1:20" ht="25.5" customHeight="1" thickTop="1" thickBot="1">
      <c r="A3" s="299" t="s">
        <v>163</v>
      </c>
      <c r="B3" s="475" t="s">
        <v>164</v>
      </c>
      <c r="C3" s="476"/>
      <c r="D3" s="475" t="s">
        <v>165</v>
      </c>
      <c r="E3" s="476"/>
      <c r="F3" s="475" t="s">
        <v>166</v>
      </c>
      <c r="G3" s="477"/>
    </row>
    <row r="4" spans="1:20" ht="13.5" thickBot="1">
      <c r="A4" s="300"/>
      <c r="B4" s="301" t="s">
        <v>167</v>
      </c>
      <c r="C4" s="301" t="s">
        <v>49</v>
      </c>
      <c r="D4" s="301" t="s">
        <v>167</v>
      </c>
      <c r="E4" s="301" t="s">
        <v>49</v>
      </c>
      <c r="F4" s="301" t="s">
        <v>167</v>
      </c>
      <c r="G4" s="302" t="s">
        <v>49</v>
      </c>
    </row>
    <row r="5" spans="1:20" ht="14.25" thickTop="1" thickBot="1">
      <c r="A5" s="303" t="s">
        <v>3</v>
      </c>
      <c r="B5" s="304"/>
      <c r="C5" s="304"/>
      <c r="D5" s="304"/>
      <c r="E5" s="304"/>
      <c r="F5" s="304"/>
      <c r="G5" s="305"/>
    </row>
    <row r="6" spans="1:20" ht="14.25" thickTop="1" thickBot="1">
      <c r="A6" s="306">
        <v>2006</v>
      </c>
      <c r="B6" s="307">
        <v>45.9</v>
      </c>
      <c r="C6" s="308">
        <v>42.9</v>
      </c>
      <c r="D6" s="309">
        <v>9</v>
      </c>
      <c r="E6" s="308">
        <v>12.1</v>
      </c>
      <c r="F6" s="309">
        <v>0.8</v>
      </c>
      <c r="G6" s="310">
        <v>0.9</v>
      </c>
    </row>
    <row r="7" spans="1:20" ht="13.5" thickBot="1">
      <c r="A7" s="306">
        <v>2007</v>
      </c>
      <c r="B7" s="311">
        <v>57.9</v>
      </c>
      <c r="C7" s="312">
        <v>42.7</v>
      </c>
      <c r="D7" s="313">
        <v>11</v>
      </c>
      <c r="E7" s="312">
        <v>11.8</v>
      </c>
      <c r="F7" s="313">
        <v>0.8</v>
      </c>
      <c r="G7" s="314">
        <v>0.8</v>
      </c>
    </row>
    <row r="8" spans="1:20" ht="13.5" thickBot="1">
      <c r="A8" s="306">
        <v>2008</v>
      </c>
      <c r="B8" s="311">
        <v>54.1</v>
      </c>
      <c r="C8" s="312">
        <v>54.6</v>
      </c>
      <c r="D8" s="313">
        <v>10.6</v>
      </c>
      <c r="E8" s="312">
        <v>14.2</v>
      </c>
      <c r="F8" s="313">
        <v>0.7</v>
      </c>
      <c r="G8" s="314">
        <v>0.8</v>
      </c>
    </row>
    <row r="9" spans="1:20" ht="13.5" thickBot="1">
      <c r="A9" s="306" t="s">
        <v>272</v>
      </c>
      <c r="B9" s="315">
        <v>141.30000000000001</v>
      </c>
      <c r="C9" s="316"/>
      <c r="D9" s="317">
        <v>23.9</v>
      </c>
      <c r="E9" s="316"/>
      <c r="F9" s="318">
        <v>0.69</v>
      </c>
      <c r="G9" s="319"/>
    </row>
    <row r="10" spans="1:20" ht="13.5" thickBot="1">
      <c r="A10" s="300" t="s">
        <v>273</v>
      </c>
      <c r="B10" s="320">
        <f t="shared" ref="B10:G10" si="0">SUM(B6:B9)</f>
        <v>299.20000000000005</v>
      </c>
      <c r="C10" s="320">
        <f t="shared" si="0"/>
        <v>140.19999999999999</v>
      </c>
      <c r="D10" s="320">
        <f t="shared" si="0"/>
        <v>54.5</v>
      </c>
      <c r="E10" s="320">
        <f t="shared" si="0"/>
        <v>38.099999999999994</v>
      </c>
      <c r="F10" s="320">
        <f t="shared" si="0"/>
        <v>2.9899999999999998</v>
      </c>
      <c r="G10" s="320">
        <f t="shared" si="0"/>
        <v>2.5</v>
      </c>
    </row>
    <row r="11" spans="1:20" ht="14.25" thickTop="1" thickBot="1">
      <c r="A11" s="303" t="s">
        <v>8</v>
      </c>
      <c r="B11" s="304"/>
      <c r="C11" s="304"/>
      <c r="D11" s="304"/>
      <c r="E11" s="304"/>
      <c r="F11" s="304"/>
      <c r="G11" s="305"/>
    </row>
    <row r="12" spans="1:20" ht="13.5" thickBot="1">
      <c r="A12" s="306">
        <v>2006</v>
      </c>
      <c r="B12" s="321">
        <v>10.7</v>
      </c>
      <c r="C12" s="322">
        <v>10.1</v>
      </c>
      <c r="D12" s="323">
        <v>2.1</v>
      </c>
      <c r="E12" s="322">
        <v>2.8</v>
      </c>
      <c r="F12" s="323">
        <v>0.09</v>
      </c>
      <c r="G12" s="324">
        <v>0.1</v>
      </c>
    </row>
    <row r="13" spans="1:20" ht="13.5" thickBot="1">
      <c r="A13" s="306">
        <v>2007</v>
      </c>
      <c r="B13" s="311">
        <v>13.5</v>
      </c>
      <c r="C13" s="312">
        <v>10</v>
      </c>
      <c r="D13" s="313">
        <v>2.6</v>
      </c>
      <c r="E13" s="312">
        <v>2.8</v>
      </c>
      <c r="F13" s="313">
        <v>0.09</v>
      </c>
      <c r="G13" s="314">
        <v>0.1</v>
      </c>
    </row>
    <row r="14" spans="1:20" ht="13.5" thickBot="1">
      <c r="A14" s="306">
        <v>2008</v>
      </c>
      <c r="B14" s="311">
        <v>12.7</v>
      </c>
      <c r="C14" s="312">
        <v>12.8</v>
      </c>
      <c r="D14" s="313">
        <v>2.5</v>
      </c>
      <c r="E14" s="312">
        <v>3.3</v>
      </c>
      <c r="F14" s="313">
        <v>0.08</v>
      </c>
      <c r="G14" s="314">
        <v>0.1</v>
      </c>
    </row>
    <row r="15" spans="1:20" ht="13.5" thickBot="1">
      <c r="A15" s="306" t="s">
        <v>272</v>
      </c>
      <c r="B15" s="315">
        <v>33.1</v>
      </c>
      <c r="C15" s="316"/>
      <c r="D15" s="317">
        <v>5.6</v>
      </c>
      <c r="E15" s="316"/>
      <c r="F15" s="317">
        <v>0.08</v>
      </c>
      <c r="G15" s="319"/>
    </row>
    <row r="16" spans="1:20" ht="13.5" thickBot="1">
      <c r="A16" s="300" t="s">
        <v>273</v>
      </c>
      <c r="B16" s="320">
        <f t="shared" ref="B16:G16" si="1">SUM(B12:B15)</f>
        <v>70</v>
      </c>
      <c r="C16" s="320">
        <f t="shared" si="1"/>
        <v>32.900000000000006</v>
      </c>
      <c r="D16" s="320">
        <f t="shared" si="1"/>
        <v>12.8</v>
      </c>
      <c r="E16" s="320">
        <f t="shared" si="1"/>
        <v>8.8999999999999986</v>
      </c>
      <c r="F16" s="320">
        <f t="shared" si="1"/>
        <v>0.34</v>
      </c>
      <c r="G16" s="320">
        <f t="shared" si="1"/>
        <v>0.30000000000000004</v>
      </c>
    </row>
    <row r="17" spans="1:7" ht="14.25" thickTop="1" thickBot="1">
      <c r="A17" s="303" t="s">
        <v>7</v>
      </c>
      <c r="B17" s="304"/>
      <c r="C17" s="304"/>
      <c r="D17" s="304"/>
      <c r="E17" s="304"/>
      <c r="F17" s="304"/>
      <c r="G17" s="305"/>
    </row>
    <row r="18" spans="1:7" ht="13.5" thickBot="1">
      <c r="A18" s="306">
        <v>2006</v>
      </c>
      <c r="B18" s="321">
        <v>47.3</v>
      </c>
      <c r="C18" s="322">
        <v>44.3</v>
      </c>
      <c r="D18" s="323">
        <v>9.3000000000000007</v>
      </c>
      <c r="E18" s="322">
        <v>12.4</v>
      </c>
      <c r="F18" s="322" t="s">
        <v>63</v>
      </c>
      <c r="G18" s="324" t="s">
        <v>63</v>
      </c>
    </row>
    <row r="19" spans="1:7" ht="13.5" thickBot="1">
      <c r="A19" s="306">
        <v>2007</v>
      </c>
      <c r="B19" s="311">
        <v>59.7</v>
      </c>
      <c r="C19" s="312">
        <v>44.1</v>
      </c>
      <c r="D19" s="313">
        <v>11.3</v>
      </c>
      <c r="E19" s="312">
        <v>12.2</v>
      </c>
      <c r="F19" s="312" t="s">
        <v>63</v>
      </c>
      <c r="G19" s="314" t="s">
        <v>63</v>
      </c>
    </row>
    <row r="20" spans="1:7" ht="13.5" thickBot="1">
      <c r="A20" s="306">
        <v>2008</v>
      </c>
      <c r="B20" s="311">
        <v>55.8</v>
      </c>
      <c r="C20" s="312">
        <v>56.3</v>
      </c>
      <c r="D20" s="313">
        <v>10.9</v>
      </c>
      <c r="E20" s="312">
        <v>14.7</v>
      </c>
      <c r="F20" s="312" t="s">
        <v>63</v>
      </c>
      <c r="G20" s="314" t="s">
        <v>63</v>
      </c>
    </row>
    <row r="21" spans="1:7" ht="13.5" thickBot="1">
      <c r="A21" s="306" t="s">
        <v>272</v>
      </c>
      <c r="B21" s="315">
        <v>145.69999999999999</v>
      </c>
      <c r="C21" s="316"/>
      <c r="D21" s="317">
        <v>24.6</v>
      </c>
      <c r="E21" s="316"/>
      <c r="F21" s="312" t="s">
        <v>63</v>
      </c>
      <c r="G21" s="314" t="s">
        <v>63</v>
      </c>
    </row>
    <row r="22" spans="1:7" ht="13.5" thickBot="1">
      <c r="A22" s="300" t="s">
        <v>273</v>
      </c>
      <c r="B22" s="320">
        <f>SUM(B18:B21)</f>
        <v>308.5</v>
      </c>
      <c r="C22" s="320">
        <f>SUM(C18:C21)</f>
        <v>144.69999999999999</v>
      </c>
      <c r="D22" s="320">
        <f>SUM(D18:D21)</f>
        <v>56.1</v>
      </c>
      <c r="E22" s="320">
        <f>SUM(E18:E21)</f>
        <v>39.299999999999997</v>
      </c>
      <c r="F22" s="325" t="s">
        <v>63</v>
      </c>
      <c r="G22" s="326" t="s">
        <v>63</v>
      </c>
    </row>
    <row r="23" spans="1:7" ht="14.25" thickTop="1" thickBot="1">
      <c r="A23" s="303" t="s">
        <v>52</v>
      </c>
      <c r="B23" s="304"/>
      <c r="C23" s="304"/>
      <c r="D23" s="304"/>
      <c r="E23" s="304"/>
      <c r="F23" s="304"/>
      <c r="G23" s="305"/>
    </row>
    <row r="24" spans="1:7" ht="13.5" thickBot="1">
      <c r="A24" s="306">
        <v>2006</v>
      </c>
      <c r="B24" s="327" t="s">
        <v>63</v>
      </c>
      <c r="C24" s="322" t="s">
        <v>63</v>
      </c>
      <c r="D24" s="322" t="s">
        <v>63</v>
      </c>
      <c r="E24" s="322" t="s">
        <v>63</v>
      </c>
      <c r="F24" s="323">
        <v>1.2</v>
      </c>
      <c r="G24" s="324">
        <v>1.4</v>
      </c>
    </row>
    <row r="25" spans="1:7" ht="13.5" thickBot="1">
      <c r="A25" s="306">
        <v>2007</v>
      </c>
      <c r="B25" s="328" t="s">
        <v>63</v>
      </c>
      <c r="C25" s="312" t="s">
        <v>63</v>
      </c>
      <c r="D25" s="312" t="s">
        <v>63</v>
      </c>
      <c r="E25" s="312" t="s">
        <v>63</v>
      </c>
      <c r="F25" s="313">
        <v>1.2</v>
      </c>
      <c r="G25" s="314">
        <v>1.3</v>
      </c>
    </row>
    <row r="26" spans="1:7" ht="13.5" thickBot="1">
      <c r="A26" s="306">
        <v>2008</v>
      </c>
      <c r="B26" s="328" t="s">
        <v>63</v>
      </c>
      <c r="C26" s="312" t="s">
        <v>63</v>
      </c>
      <c r="D26" s="312" t="s">
        <v>63</v>
      </c>
      <c r="E26" s="312" t="s">
        <v>63</v>
      </c>
      <c r="F26" s="313">
        <v>1.1000000000000001</v>
      </c>
      <c r="G26" s="314">
        <v>1.2</v>
      </c>
    </row>
    <row r="27" spans="1:7" ht="13.5" thickBot="1">
      <c r="A27" s="306" t="s">
        <v>272</v>
      </c>
      <c r="B27" s="328" t="s">
        <v>63</v>
      </c>
      <c r="C27" s="312" t="s">
        <v>63</v>
      </c>
      <c r="D27" s="312" t="s">
        <v>63</v>
      </c>
      <c r="E27" s="312" t="s">
        <v>63</v>
      </c>
      <c r="F27" s="317">
        <v>1.1000000000000001</v>
      </c>
      <c r="G27" s="319"/>
    </row>
    <row r="28" spans="1:7" ht="13.5" thickBot="1">
      <c r="A28" s="300" t="s">
        <v>273</v>
      </c>
      <c r="B28" s="329" t="s">
        <v>63</v>
      </c>
      <c r="C28" s="330" t="s">
        <v>63</v>
      </c>
      <c r="D28" s="325" t="s">
        <v>63</v>
      </c>
      <c r="E28" s="330" t="s">
        <v>63</v>
      </c>
      <c r="F28" s="331">
        <f>SUM(F24:F27)</f>
        <v>4.5999999999999996</v>
      </c>
      <c r="G28" s="331">
        <f>SUM(G24:G27)</f>
        <v>3.9000000000000004</v>
      </c>
    </row>
    <row r="29" spans="1:7" ht="39.75" thickTop="1" thickBot="1">
      <c r="A29" s="332" t="s">
        <v>278</v>
      </c>
      <c r="B29" s="333">
        <f>B22+B16+B10</f>
        <v>677.7</v>
      </c>
      <c r="C29" s="334">
        <f>C22+C16+C10</f>
        <v>317.79999999999995</v>
      </c>
      <c r="D29" s="334">
        <f>D22+D16+D10</f>
        <v>123.4</v>
      </c>
      <c r="E29" s="334">
        <f>E22+E16+E10</f>
        <v>86.299999999999983</v>
      </c>
      <c r="F29" s="334">
        <f>F28+F16+F10</f>
        <v>7.93</v>
      </c>
      <c r="G29" s="335">
        <f>G28+G16+G10</f>
        <v>6.7</v>
      </c>
    </row>
    <row r="30" spans="1:7" ht="39" thickBot="1">
      <c r="A30" s="336" t="s">
        <v>274</v>
      </c>
      <c r="B30" s="478" t="s">
        <v>279</v>
      </c>
      <c r="C30" s="479"/>
      <c r="D30" s="478" t="s">
        <v>279</v>
      </c>
      <c r="E30" s="479"/>
      <c r="F30" s="478" t="s">
        <v>279</v>
      </c>
      <c r="G30" s="479"/>
    </row>
    <row r="31" spans="1:7" ht="30" customHeight="1" thickBot="1">
      <c r="A31" s="466" t="s">
        <v>186</v>
      </c>
      <c r="B31" s="467"/>
      <c r="C31" s="467"/>
      <c r="D31" s="467"/>
      <c r="E31" s="467"/>
      <c r="F31" s="467"/>
      <c r="G31" s="468"/>
    </row>
    <row r="32" spans="1:7" ht="13.5" thickTop="1">
      <c r="A32" s="298" t="s">
        <v>275</v>
      </c>
    </row>
  </sheetData>
  <mergeCells count="9">
    <mergeCell ref="A31:G31"/>
    <mergeCell ref="A1:T1"/>
    <mergeCell ref="A2:J2"/>
    <mergeCell ref="B3:C3"/>
    <mergeCell ref="D3:E3"/>
    <mergeCell ref="F3:G3"/>
    <mergeCell ref="B30:C30"/>
    <mergeCell ref="D30:E30"/>
    <mergeCell ref="F30:G30"/>
  </mergeCells>
  <pageMargins left="0.7" right="0.7" top="0.75" bottom="0.75" header="0.3" footer="0.3"/>
</worksheet>
</file>

<file path=xl/worksheets/sheet11.xml><?xml version="1.0" encoding="utf-8"?>
<worksheet xmlns="http://schemas.openxmlformats.org/spreadsheetml/2006/main" xmlns:r="http://schemas.openxmlformats.org/officeDocument/2006/relationships">
  <sheetPr codeName="Sheet11"/>
  <dimension ref="A1:N41"/>
  <sheetViews>
    <sheetView workbookViewId="0">
      <selection activeCell="J25" sqref="I25:J25"/>
    </sheetView>
  </sheetViews>
  <sheetFormatPr defaultRowHeight="12.75"/>
  <cols>
    <col min="1" max="1" width="42" customWidth="1"/>
    <col min="2" max="11" width="8.5703125" customWidth="1"/>
  </cols>
  <sheetData>
    <row r="1" spans="1:14">
      <c r="B1" s="1">
        <v>2004</v>
      </c>
      <c r="C1" s="1">
        <v>2005</v>
      </c>
      <c r="D1" s="1">
        <v>2006</v>
      </c>
      <c r="E1" s="1">
        <v>2007</v>
      </c>
      <c r="F1" s="1">
        <v>2008</v>
      </c>
      <c r="G1" s="273">
        <v>2009</v>
      </c>
      <c r="H1" s="1">
        <v>2010</v>
      </c>
      <c r="I1" s="1">
        <v>2011</v>
      </c>
      <c r="J1" s="1">
        <v>2012</v>
      </c>
      <c r="K1" s="1">
        <v>2013</v>
      </c>
      <c r="M1" s="201" t="s">
        <v>252</v>
      </c>
    </row>
    <row r="2" spans="1:14">
      <c r="G2" s="265"/>
    </row>
    <row r="3" spans="1:14">
      <c r="A3" t="s">
        <v>3</v>
      </c>
      <c r="G3" s="265"/>
      <c r="N3" s="201" t="s">
        <v>253</v>
      </c>
    </row>
    <row r="4" spans="1:14">
      <c r="A4" t="s">
        <v>4</v>
      </c>
      <c r="B4" s="267">
        <v>744</v>
      </c>
      <c r="C4" s="268">
        <v>1487</v>
      </c>
      <c r="D4" s="268">
        <v>2317</v>
      </c>
      <c r="E4" s="268">
        <v>3260</v>
      </c>
      <c r="F4" s="270">
        <f>4313-C4</f>
        <v>2826</v>
      </c>
      <c r="G4" s="264">
        <v>3840</v>
      </c>
      <c r="H4" s="2">
        <v>6396</v>
      </c>
      <c r="I4" s="2">
        <v>7483</v>
      </c>
      <c r="J4" s="2">
        <v>8656</v>
      </c>
      <c r="K4" s="2">
        <v>9933</v>
      </c>
      <c r="M4" s="264">
        <v>5381</v>
      </c>
      <c r="N4" s="281">
        <f>(G4-M4)/M4</f>
        <v>-0.28637799665489688</v>
      </c>
    </row>
    <row r="5" spans="1:14">
      <c r="A5" t="s">
        <v>5</v>
      </c>
      <c r="B5" s="267">
        <v>161</v>
      </c>
      <c r="C5" s="267">
        <v>323</v>
      </c>
      <c r="D5" s="267">
        <v>503</v>
      </c>
      <c r="E5" s="267">
        <v>708</v>
      </c>
      <c r="F5" s="271">
        <f>936-C5</f>
        <v>613</v>
      </c>
      <c r="G5" s="265">
        <v>843</v>
      </c>
      <c r="H5">
        <v>1388</v>
      </c>
      <c r="I5">
        <v>1624</v>
      </c>
      <c r="J5">
        <v>1878</v>
      </c>
      <c r="K5">
        <v>2156</v>
      </c>
      <c r="M5" s="265">
        <v>1168</v>
      </c>
      <c r="N5" s="281">
        <f t="shared" ref="N5:N18" si="0">(G5-M5)/M5</f>
        <v>-0.27825342465753422</v>
      </c>
    </row>
    <row r="6" spans="1:14">
      <c r="A6" t="s">
        <v>6</v>
      </c>
      <c r="B6" s="267">
        <v>9.8000000000000007</v>
      </c>
      <c r="C6" s="267">
        <v>19.600000000000001</v>
      </c>
      <c r="D6" s="267">
        <v>32.1</v>
      </c>
      <c r="E6" s="267">
        <v>47</v>
      </c>
      <c r="F6" s="271">
        <f>64.4-C6</f>
        <v>44.800000000000004</v>
      </c>
      <c r="G6" s="265">
        <v>60</v>
      </c>
      <c r="H6">
        <v>105.9</v>
      </c>
      <c r="I6">
        <v>127.8</v>
      </c>
      <c r="J6">
        <v>150.9</v>
      </c>
      <c r="K6">
        <v>176</v>
      </c>
      <c r="M6" s="265">
        <v>84.8</v>
      </c>
      <c r="N6" s="281">
        <f t="shared" si="0"/>
        <v>-0.29245283018867924</v>
      </c>
    </row>
    <row r="7" spans="1:14">
      <c r="B7" s="267"/>
      <c r="C7" s="267"/>
      <c r="D7" s="267"/>
      <c r="E7" s="267"/>
      <c r="F7" s="271"/>
      <c r="G7" s="265"/>
      <c r="M7" s="265"/>
      <c r="N7" s="281"/>
    </row>
    <row r="8" spans="1:14">
      <c r="A8" t="s">
        <v>7</v>
      </c>
      <c r="B8" s="267"/>
      <c r="C8" s="267"/>
      <c r="D8" s="267"/>
      <c r="E8" s="267"/>
      <c r="F8" s="271"/>
      <c r="G8" s="265"/>
      <c r="M8" s="265"/>
      <c r="N8" s="281"/>
    </row>
    <row r="9" spans="1:14">
      <c r="A9" t="s">
        <v>4</v>
      </c>
      <c r="B9" s="267">
        <v>826</v>
      </c>
      <c r="C9" s="268">
        <v>1653</v>
      </c>
      <c r="D9" s="268">
        <v>2575</v>
      </c>
      <c r="E9" s="268">
        <v>3621</v>
      </c>
      <c r="F9" s="270">
        <f>4788-C9</f>
        <v>3135</v>
      </c>
      <c r="G9" s="264">
        <v>4265</v>
      </c>
      <c r="H9" s="2">
        <v>7153</v>
      </c>
      <c r="I9" s="2">
        <v>8317</v>
      </c>
      <c r="J9" s="2">
        <v>9468</v>
      </c>
      <c r="K9" s="2">
        <v>10608</v>
      </c>
      <c r="M9" s="264">
        <v>5977</v>
      </c>
      <c r="N9" s="281">
        <f t="shared" si="0"/>
        <v>-0.28643132006023087</v>
      </c>
    </row>
    <row r="10" spans="1:14">
      <c r="A10" t="s">
        <v>5</v>
      </c>
      <c r="B10" s="267">
        <v>167</v>
      </c>
      <c r="C10" s="267">
        <v>334</v>
      </c>
      <c r="D10" s="267">
        <v>541</v>
      </c>
      <c r="E10" s="267">
        <v>760</v>
      </c>
      <c r="F10" s="270">
        <f>1006-C10</f>
        <v>672</v>
      </c>
      <c r="G10" s="264">
        <v>919</v>
      </c>
      <c r="H10" s="2">
        <v>1502</v>
      </c>
      <c r="I10" s="2">
        <v>1747</v>
      </c>
      <c r="J10" s="2">
        <v>1988</v>
      </c>
      <c r="K10" s="2">
        <v>2228</v>
      </c>
      <c r="M10" s="264">
        <v>1255</v>
      </c>
      <c r="N10" s="281">
        <f t="shared" si="0"/>
        <v>-0.26772908366533865</v>
      </c>
    </row>
    <row r="11" spans="1:14">
      <c r="B11" s="267"/>
      <c r="C11" s="267"/>
      <c r="D11" s="267"/>
      <c r="E11" s="267"/>
      <c r="F11" s="271"/>
      <c r="G11" s="265"/>
      <c r="M11" s="265"/>
      <c r="N11" s="281"/>
    </row>
    <row r="12" spans="1:14">
      <c r="A12" t="s">
        <v>8</v>
      </c>
      <c r="B12" s="267"/>
      <c r="C12" s="267"/>
      <c r="D12" s="267"/>
      <c r="E12" s="267"/>
      <c r="F12" s="271"/>
      <c r="G12" s="265"/>
      <c r="M12" s="265"/>
      <c r="N12" s="281"/>
    </row>
    <row r="13" spans="1:14">
      <c r="A13" t="s">
        <v>4</v>
      </c>
      <c r="B13" s="267">
        <v>268.39999999999998</v>
      </c>
      <c r="C13" s="267">
        <v>536.79999999999995</v>
      </c>
      <c r="D13" s="267">
        <v>817.3</v>
      </c>
      <c r="E13" s="269">
        <v>1102.4000000000001</v>
      </c>
      <c r="F13" s="272">
        <f>1386.8-C13</f>
        <v>850</v>
      </c>
      <c r="G13" s="266">
        <v>839</v>
      </c>
      <c r="H13" s="3">
        <v>1942.7</v>
      </c>
      <c r="I13" s="3">
        <v>2205.1999999999998</v>
      </c>
      <c r="J13" s="3">
        <v>2426.9</v>
      </c>
      <c r="K13" s="3">
        <v>2641.8</v>
      </c>
      <c r="M13" s="266">
        <v>1669.1</v>
      </c>
      <c r="N13" s="281">
        <f t="shared" si="0"/>
        <v>-0.49733389251692528</v>
      </c>
    </row>
    <row r="14" spans="1:14">
      <c r="A14" t="s">
        <v>5</v>
      </c>
      <c r="B14" s="267">
        <v>50.4</v>
      </c>
      <c r="C14" s="267">
        <v>100.7</v>
      </c>
      <c r="D14" s="267">
        <v>155.30000000000001</v>
      </c>
      <c r="E14" s="267">
        <v>209.5</v>
      </c>
      <c r="F14" s="271">
        <f>263.5-C14</f>
        <v>162.80000000000001</v>
      </c>
      <c r="G14" s="265">
        <v>162</v>
      </c>
      <c r="H14">
        <v>369.1</v>
      </c>
      <c r="I14">
        <v>419</v>
      </c>
      <c r="J14">
        <v>461.1</v>
      </c>
      <c r="K14">
        <v>501.9</v>
      </c>
      <c r="M14" s="265">
        <v>317.10000000000002</v>
      </c>
      <c r="N14" s="281">
        <f t="shared" si="0"/>
        <v>-0.48912015137180703</v>
      </c>
    </row>
    <row r="15" spans="1:14">
      <c r="A15" t="s">
        <v>6</v>
      </c>
      <c r="B15" s="267">
        <v>1.8</v>
      </c>
      <c r="C15" s="267">
        <v>3.6</v>
      </c>
      <c r="D15" s="267">
        <v>6.3</v>
      </c>
      <c r="E15" s="267">
        <v>9.5</v>
      </c>
      <c r="F15" s="271">
        <f>13.1-C15</f>
        <v>9.5</v>
      </c>
      <c r="G15" s="490">
        <v>12.8</v>
      </c>
      <c r="H15">
        <v>21.8</v>
      </c>
      <c r="I15">
        <v>26.7</v>
      </c>
      <c r="J15">
        <v>32</v>
      </c>
      <c r="K15">
        <v>37.6</v>
      </c>
      <c r="M15" s="265">
        <v>17.3</v>
      </c>
      <c r="N15" s="281">
        <f t="shared" si="0"/>
        <v>-0.26011560693641617</v>
      </c>
    </row>
    <row r="16" spans="1:14">
      <c r="B16" s="267"/>
      <c r="C16" s="267"/>
      <c r="D16" s="267"/>
      <c r="E16" s="267"/>
      <c r="F16" s="271"/>
      <c r="G16" s="265"/>
      <c r="M16" s="265"/>
      <c r="N16" s="281"/>
    </row>
    <row r="17" spans="1:14">
      <c r="A17" t="s">
        <v>9</v>
      </c>
      <c r="B17" s="267"/>
      <c r="C17" s="267"/>
      <c r="D17" s="267"/>
      <c r="E17" s="267"/>
      <c r="F17" s="271"/>
      <c r="G17" s="265"/>
      <c r="M17" s="265"/>
      <c r="N17" s="281"/>
    </row>
    <row r="18" spans="1:14">
      <c r="A18" t="s">
        <v>6</v>
      </c>
      <c r="B18" s="267">
        <v>9.6</v>
      </c>
      <c r="C18" s="267">
        <v>19.3</v>
      </c>
      <c r="D18" s="267">
        <v>34</v>
      </c>
      <c r="E18" s="267">
        <v>53.3</v>
      </c>
      <c r="F18" s="271">
        <f>76.5-C18</f>
        <v>57.2</v>
      </c>
      <c r="G18" s="265">
        <v>84</v>
      </c>
      <c r="H18">
        <v>132</v>
      </c>
      <c r="I18">
        <v>161.9</v>
      </c>
      <c r="J18">
        <v>194.2</v>
      </c>
      <c r="K18">
        <v>230.1</v>
      </c>
      <c r="M18" s="265">
        <v>103.7</v>
      </c>
      <c r="N18" s="281">
        <f t="shared" si="0"/>
        <v>-0.18997107039537128</v>
      </c>
    </row>
    <row r="21" spans="1:14">
      <c r="F21" s="3">
        <v>211.79999999999995</v>
      </c>
    </row>
    <row r="22" spans="1:14">
      <c r="F22">
        <v>40.5</v>
      </c>
    </row>
    <row r="24" spans="1:14">
      <c r="A24" s="267" t="s">
        <v>228</v>
      </c>
      <c r="B24" s="268"/>
      <c r="C24" s="2"/>
      <c r="D24" s="2"/>
      <c r="E24" s="2"/>
      <c r="F24" s="2"/>
      <c r="G24" s="2"/>
      <c r="H24" s="2"/>
      <c r="I24" s="2"/>
      <c r="J24" s="2"/>
      <c r="K24" s="2"/>
    </row>
    <row r="25" spans="1:14">
      <c r="A25" s="267" t="s">
        <v>229</v>
      </c>
      <c r="B25" s="267">
        <f>C4*0.1</f>
        <v>148.70000000000002</v>
      </c>
    </row>
    <row r="26" spans="1:14">
      <c r="A26" s="267" t="s">
        <v>230</v>
      </c>
      <c r="B26" s="267">
        <f>C5*0.1</f>
        <v>32.300000000000004</v>
      </c>
      <c r="F26" s="2"/>
    </row>
    <row r="27" spans="1:14">
      <c r="A27" s="267" t="s">
        <v>231</v>
      </c>
      <c r="B27" s="267">
        <f>C6*0.1</f>
        <v>1.9600000000000002</v>
      </c>
    </row>
    <row r="28" spans="1:14">
      <c r="A28" s="267" t="s">
        <v>232</v>
      </c>
      <c r="B28" s="267">
        <f>C9*0.1</f>
        <v>165.3</v>
      </c>
    </row>
    <row r="29" spans="1:14">
      <c r="A29" s="267" t="s">
        <v>233</v>
      </c>
      <c r="B29" s="267">
        <f>C10*0.1</f>
        <v>33.4</v>
      </c>
    </row>
    <row r="30" spans="1:14">
      <c r="A30" s="267" t="s">
        <v>234</v>
      </c>
      <c r="B30" s="267">
        <f>C13*0.1</f>
        <v>53.68</v>
      </c>
    </row>
    <row r="31" spans="1:14">
      <c r="A31" s="267" t="s">
        <v>235</v>
      </c>
      <c r="B31" s="267">
        <f>C14*0.1</f>
        <v>10.07</v>
      </c>
    </row>
    <row r="32" spans="1:14">
      <c r="A32" s="267" t="s">
        <v>236</v>
      </c>
      <c r="B32" s="267">
        <f>C15*0.1</f>
        <v>0.36000000000000004</v>
      </c>
    </row>
    <row r="33" spans="1:4">
      <c r="A33" s="267" t="s">
        <v>237</v>
      </c>
      <c r="B33" s="267">
        <f>C18*0.1</f>
        <v>1.9300000000000002</v>
      </c>
    </row>
    <row r="35" spans="1:4" ht="13.5" thickBot="1"/>
    <row r="36" spans="1:4" ht="13.5" thickBot="1">
      <c r="A36" s="274" t="s">
        <v>245</v>
      </c>
      <c r="B36" s="275" t="s">
        <v>60</v>
      </c>
      <c r="C36" s="275" t="s">
        <v>61</v>
      </c>
      <c r="D36" s="276" t="s">
        <v>59</v>
      </c>
    </row>
    <row r="37" spans="1:4" ht="13.5" thickBot="1">
      <c r="A37" s="277" t="s">
        <v>246</v>
      </c>
      <c r="B37" s="278">
        <v>3840</v>
      </c>
      <c r="C37" s="279">
        <v>843</v>
      </c>
      <c r="D37" s="280">
        <v>60</v>
      </c>
    </row>
    <row r="38" spans="1:4" ht="13.5" thickBot="1">
      <c r="A38" s="277" t="s">
        <v>247</v>
      </c>
      <c r="B38" s="278">
        <v>4265</v>
      </c>
      <c r="C38" s="279">
        <v>919</v>
      </c>
      <c r="D38" s="280" t="s">
        <v>248</v>
      </c>
    </row>
    <row r="39" spans="1:4" ht="13.5" thickBot="1">
      <c r="A39" s="277" t="s">
        <v>249</v>
      </c>
      <c r="B39" s="279">
        <v>839</v>
      </c>
      <c r="C39" s="279">
        <v>162</v>
      </c>
      <c r="D39" s="280">
        <v>13</v>
      </c>
    </row>
    <row r="40" spans="1:4" ht="13.5" thickBot="1">
      <c r="A40" s="277" t="s">
        <v>250</v>
      </c>
      <c r="B40" s="279" t="s">
        <v>248</v>
      </c>
      <c r="C40" s="279" t="s">
        <v>248</v>
      </c>
      <c r="D40" s="280">
        <v>84</v>
      </c>
    </row>
    <row r="41" spans="1:4" ht="13.5" thickBot="1">
      <c r="A41" s="277" t="s">
        <v>251</v>
      </c>
      <c r="B41" s="278">
        <v>8943</v>
      </c>
      <c r="C41" s="278">
        <v>1924</v>
      </c>
      <c r="D41" s="280">
        <v>157</v>
      </c>
    </row>
  </sheetData>
  <phoneticPr fontId="6" type="noConversion"/>
  <pageMargins left="0.75" right="0.75" top="1" bottom="1" header="0.5" footer="0.5"/>
  <pageSetup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sheetPr codeName="Sheet12"/>
  <dimension ref="B2:I21"/>
  <sheetViews>
    <sheetView workbookViewId="0">
      <selection activeCell="F9" sqref="F9"/>
    </sheetView>
  </sheetViews>
  <sheetFormatPr defaultRowHeight="12.75"/>
  <cols>
    <col min="3" max="3" width="16" customWidth="1"/>
    <col min="4" max="4" width="14.42578125" customWidth="1"/>
    <col min="5" max="5" width="13.7109375" customWidth="1"/>
    <col min="6" max="7" width="12.28515625" bestFit="1" customWidth="1"/>
    <col min="8" max="9" width="11.28515625" bestFit="1" customWidth="1"/>
  </cols>
  <sheetData>
    <row r="2" spans="2:9" ht="15">
      <c r="B2" s="235" t="s">
        <v>196</v>
      </c>
      <c r="E2" s="201" t="s">
        <v>195</v>
      </c>
      <c r="F2" s="201" t="s">
        <v>7</v>
      </c>
      <c r="G2" s="201" t="s">
        <v>12</v>
      </c>
      <c r="H2" s="201" t="s">
        <v>52</v>
      </c>
    </row>
    <row r="3" spans="2:9">
      <c r="B3" s="201" t="s">
        <v>46</v>
      </c>
      <c r="C3" s="201" t="s">
        <v>193</v>
      </c>
      <c r="D3" s="201" t="s">
        <v>194</v>
      </c>
      <c r="E3" s="11" t="s">
        <v>209</v>
      </c>
    </row>
    <row r="4" spans="2:9">
      <c r="B4" s="201" t="s">
        <v>195</v>
      </c>
      <c r="C4" s="236">
        <v>41500000</v>
      </c>
      <c r="D4" s="245">
        <f>H17</f>
        <v>33430614</v>
      </c>
      <c r="E4" s="256">
        <f>SUM(C4:D4)</f>
        <v>74930614</v>
      </c>
      <c r="F4" s="257">
        <f>E5</f>
        <v>50352348</v>
      </c>
      <c r="G4" s="257">
        <f>E6</f>
        <v>11100572</v>
      </c>
      <c r="H4" s="257">
        <f>E7</f>
        <v>7311021</v>
      </c>
      <c r="I4" s="258" t="s">
        <v>211</v>
      </c>
    </row>
    <row r="5" spans="2:9">
      <c r="B5" s="201" t="s">
        <v>7</v>
      </c>
      <c r="C5" s="236">
        <v>24700000</v>
      </c>
      <c r="D5" s="245">
        <f>H18</f>
        <v>25652348</v>
      </c>
      <c r="E5" s="254">
        <f>SUM(C5:D5)</f>
        <v>50352348</v>
      </c>
    </row>
    <row r="6" spans="2:9">
      <c r="B6" s="201" t="s">
        <v>12</v>
      </c>
      <c r="C6" s="236">
        <v>10800000</v>
      </c>
      <c r="D6" s="245">
        <f>H19</f>
        <v>300572</v>
      </c>
      <c r="E6" s="254">
        <f>SUM(C6:D6)</f>
        <v>11100572</v>
      </c>
    </row>
    <row r="7" spans="2:9">
      <c r="B7" s="201" t="s">
        <v>52</v>
      </c>
      <c r="C7" s="236">
        <v>5200000</v>
      </c>
      <c r="D7" s="245">
        <f>H20</f>
        <v>2111021</v>
      </c>
      <c r="E7" s="254">
        <f>SUM(C7:D7)</f>
        <v>7311021</v>
      </c>
    </row>
    <row r="8" spans="2:9">
      <c r="B8" s="11" t="s">
        <v>209</v>
      </c>
      <c r="C8" s="254">
        <f>SUM(C4:C7)</f>
        <v>82200000</v>
      </c>
      <c r="D8" s="254">
        <f>SUM(D4:D7)</f>
        <v>61494555</v>
      </c>
      <c r="E8" s="254">
        <f>SUM(C8:D8)</f>
        <v>143694555</v>
      </c>
    </row>
    <row r="13" spans="2:9" ht="13.5" thickBot="1">
      <c r="B13" s="201" t="s">
        <v>208</v>
      </c>
    </row>
    <row r="14" spans="2:9" ht="51">
      <c r="B14" s="480" t="s">
        <v>46</v>
      </c>
      <c r="C14" s="480" t="s">
        <v>197</v>
      </c>
      <c r="D14" s="238" t="s">
        <v>198</v>
      </c>
      <c r="E14" s="483" t="s">
        <v>40</v>
      </c>
      <c r="F14" s="486" t="s">
        <v>200</v>
      </c>
      <c r="G14" s="486" t="s">
        <v>201</v>
      </c>
      <c r="H14" s="241" t="s">
        <v>202</v>
      </c>
      <c r="I14" s="241" t="s">
        <v>204</v>
      </c>
    </row>
    <row r="15" spans="2:9">
      <c r="B15" s="481"/>
      <c r="C15" s="481"/>
      <c r="D15" s="237" t="s">
        <v>199</v>
      </c>
      <c r="E15" s="484"/>
      <c r="F15" s="487"/>
      <c r="G15" s="487"/>
      <c r="H15" s="240" t="s">
        <v>203</v>
      </c>
      <c r="I15" s="240" t="s">
        <v>205</v>
      </c>
    </row>
    <row r="16" spans="2:9" ht="13.5" thickBot="1">
      <c r="B16" s="482"/>
      <c r="C16" s="482"/>
      <c r="D16" s="239"/>
      <c r="E16" s="485"/>
      <c r="F16" s="488"/>
      <c r="G16" s="488"/>
      <c r="H16" s="242"/>
      <c r="I16" s="243" t="s">
        <v>206</v>
      </c>
    </row>
    <row r="17" spans="2:9">
      <c r="B17" s="244" t="s">
        <v>195</v>
      </c>
      <c r="C17" s="244" t="s">
        <v>207</v>
      </c>
      <c r="D17" s="246">
        <v>41500000</v>
      </c>
      <c r="E17" s="247">
        <v>0.12</v>
      </c>
      <c r="F17" s="248">
        <v>115277868</v>
      </c>
      <c r="G17" s="248">
        <v>74930614</v>
      </c>
      <c r="H17" s="248">
        <v>33430614</v>
      </c>
      <c r="I17" s="248">
        <v>40347254</v>
      </c>
    </row>
    <row r="18" spans="2:9">
      <c r="B18" s="244" t="s">
        <v>7</v>
      </c>
      <c r="C18" s="244" t="s">
        <v>207</v>
      </c>
      <c r="D18" s="246">
        <v>24700000</v>
      </c>
      <c r="E18" s="247">
        <v>0.12</v>
      </c>
      <c r="F18" s="248">
        <v>77465151</v>
      </c>
      <c r="G18" s="248">
        <v>50352348</v>
      </c>
      <c r="H18" s="248">
        <v>25652348</v>
      </c>
      <c r="I18" s="248">
        <v>27112803</v>
      </c>
    </row>
    <row r="19" spans="2:9" ht="16.5">
      <c r="B19" s="244" t="s">
        <v>8</v>
      </c>
      <c r="C19" s="249" t="s">
        <v>207</v>
      </c>
      <c r="D19" s="246">
        <v>10800000</v>
      </c>
      <c r="E19" s="247">
        <v>0.12</v>
      </c>
      <c r="F19" s="248">
        <v>17077803</v>
      </c>
      <c r="G19" s="248">
        <v>11100572</v>
      </c>
      <c r="H19" s="248">
        <v>300572</v>
      </c>
      <c r="I19" s="248">
        <v>5977231</v>
      </c>
    </row>
    <row r="20" spans="2:9" ht="13.5" thickBot="1">
      <c r="B20" s="250" t="s">
        <v>52</v>
      </c>
      <c r="C20" s="251">
        <v>2886293</v>
      </c>
      <c r="D20" s="251">
        <v>5200000</v>
      </c>
      <c r="E20" s="252">
        <v>0.12</v>
      </c>
      <c r="F20" s="253">
        <v>11247724</v>
      </c>
      <c r="G20" s="253">
        <v>7311021</v>
      </c>
      <c r="H20" s="253">
        <v>2111021</v>
      </c>
      <c r="I20" s="253">
        <v>3936703</v>
      </c>
    </row>
    <row r="21" spans="2:9" ht="13.5" thickTop="1"/>
  </sheetData>
  <sheetProtection password="F6A8" sheet="1"/>
  <mergeCells count="5">
    <mergeCell ref="B14:B16"/>
    <mergeCell ref="C14:C16"/>
    <mergeCell ref="E14:E16"/>
    <mergeCell ref="F14:F16"/>
    <mergeCell ref="G14:G16"/>
  </mergeCell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sheetPr codeName="Sheet13"/>
  <dimension ref="A4:F40"/>
  <sheetViews>
    <sheetView workbookViewId="0">
      <pane ySplit="4" topLeftCell="A41" activePane="bottomLeft" state="frozen"/>
      <selection pane="bottomLeft" activeCell="F41" sqref="F41"/>
    </sheetView>
  </sheetViews>
  <sheetFormatPr defaultRowHeight="12.75"/>
  <cols>
    <col min="2" max="2" width="10.140625" bestFit="1" customWidth="1"/>
    <col min="3" max="3" width="35.5703125" customWidth="1"/>
    <col min="4" max="4" width="29.42578125" customWidth="1"/>
    <col min="5" max="5" width="45" customWidth="1"/>
  </cols>
  <sheetData>
    <row r="4" spans="1:6">
      <c r="A4" s="226" t="s">
        <v>151</v>
      </c>
      <c r="B4" s="226" t="s">
        <v>152</v>
      </c>
      <c r="C4" s="226" t="s">
        <v>153</v>
      </c>
      <c r="D4" s="226" t="s">
        <v>154</v>
      </c>
      <c r="E4" s="226" t="s">
        <v>155</v>
      </c>
      <c r="F4" s="226" t="s">
        <v>156</v>
      </c>
    </row>
    <row r="5" spans="1:6">
      <c r="A5">
        <v>1</v>
      </c>
      <c r="B5" s="224">
        <v>40021</v>
      </c>
      <c r="C5" t="s">
        <v>169</v>
      </c>
      <c r="D5" s="225" t="s">
        <v>157</v>
      </c>
      <c r="E5" t="s">
        <v>159</v>
      </c>
      <c r="F5" t="s">
        <v>158</v>
      </c>
    </row>
    <row r="6" spans="1:6">
      <c r="A6">
        <v>2</v>
      </c>
      <c r="B6" s="224">
        <v>40021</v>
      </c>
      <c r="C6" t="s">
        <v>169</v>
      </c>
      <c r="D6" s="225" t="s">
        <v>161</v>
      </c>
      <c r="E6" t="s">
        <v>162</v>
      </c>
      <c r="F6" t="s">
        <v>158</v>
      </c>
    </row>
    <row r="7" spans="1:6">
      <c r="A7">
        <v>3</v>
      </c>
      <c r="B7" s="224">
        <v>40242</v>
      </c>
      <c r="C7" t="s">
        <v>168</v>
      </c>
      <c r="D7" s="225" t="s">
        <v>170</v>
      </c>
      <c r="E7" t="s">
        <v>171</v>
      </c>
      <c r="F7" t="s">
        <v>158</v>
      </c>
    </row>
    <row r="8" spans="1:6">
      <c r="A8">
        <v>4</v>
      </c>
      <c r="B8" s="224">
        <v>40242</v>
      </c>
      <c r="C8" t="s">
        <v>168</v>
      </c>
      <c r="D8" s="225" t="s">
        <v>161</v>
      </c>
      <c r="E8" t="s">
        <v>172</v>
      </c>
      <c r="F8" t="s">
        <v>158</v>
      </c>
    </row>
    <row r="9" spans="1:6">
      <c r="A9">
        <v>5</v>
      </c>
      <c r="B9" s="224">
        <v>40242</v>
      </c>
      <c r="C9" t="s">
        <v>168</v>
      </c>
      <c r="D9" s="225" t="s">
        <v>161</v>
      </c>
      <c r="E9" t="s">
        <v>173</v>
      </c>
      <c r="F9" t="s">
        <v>158</v>
      </c>
    </row>
    <row r="10" spans="1:6">
      <c r="A10">
        <v>6</v>
      </c>
      <c r="B10" s="224">
        <v>40242</v>
      </c>
      <c r="C10" t="s">
        <v>168</v>
      </c>
      <c r="D10" s="225" t="s">
        <v>161</v>
      </c>
      <c r="E10" t="s">
        <v>174</v>
      </c>
      <c r="F10" t="s">
        <v>158</v>
      </c>
    </row>
    <row r="11" spans="1:6">
      <c r="A11">
        <v>7</v>
      </c>
      <c r="B11" s="224">
        <v>40242</v>
      </c>
      <c r="C11" t="s">
        <v>168</v>
      </c>
      <c r="D11" s="225" t="s">
        <v>161</v>
      </c>
      <c r="E11" t="s">
        <v>175</v>
      </c>
      <c r="F11" t="s">
        <v>158</v>
      </c>
    </row>
    <row r="12" spans="1:6" ht="140.25">
      <c r="A12">
        <v>8</v>
      </c>
      <c r="B12" s="224">
        <v>40242</v>
      </c>
      <c r="C12" t="s">
        <v>168</v>
      </c>
      <c r="D12" s="225" t="s">
        <v>161</v>
      </c>
      <c r="E12" s="228" t="s">
        <v>176</v>
      </c>
      <c r="F12" t="s">
        <v>158</v>
      </c>
    </row>
    <row r="13" spans="1:6" ht="38.25">
      <c r="A13">
        <v>9</v>
      </c>
      <c r="B13" s="224">
        <v>40242</v>
      </c>
      <c r="C13" t="s">
        <v>168</v>
      </c>
      <c r="D13" s="225" t="s">
        <v>161</v>
      </c>
      <c r="E13" s="228" t="s">
        <v>182</v>
      </c>
      <c r="F13" t="s">
        <v>183</v>
      </c>
    </row>
    <row r="14" spans="1:6" ht="140.25">
      <c r="A14">
        <v>10</v>
      </c>
      <c r="B14" s="224">
        <v>40243</v>
      </c>
      <c r="C14" t="s">
        <v>168</v>
      </c>
      <c r="D14" s="225" t="s">
        <v>161</v>
      </c>
      <c r="E14" s="228" t="s">
        <v>184</v>
      </c>
      <c r="F14" t="s">
        <v>158</v>
      </c>
    </row>
    <row r="15" spans="1:6" ht="25.5">
      <c r="A15">
        <v>11</v>
      </c>
      <c r="B15" s="224">
        <v>40297</v>
      </c>
      <c r="C15" s="201" t="s">
        <v>191</v>
      </c>
      <c r="D15" s="225" t="s">
        <v>170</v>
      </c>
      <c r="E15" s="229" t="s">
        <v>214</v>
      </c>
      <c r="F15" t="s">
        <v>158</v>
      </c>
    </row>
    <row r="16" spans="1:6" ht="51">
      <c r="A16">
        <v>12</v>
      </c>
      <c r="B16" s="224">
        <v>40270</v>
      </c>
      <c r="C16" t="s">
        <v>185</v>
      </c>
      <c r="D16" s="230" t="s">
        <v>187</v>
      </c>
      <c r="E16" s="229" t="s">
        <v>188</v>
      </c>
      <c r="F16" s="201" t="s">
        <v>158</v>
      </c>
    </row>
    <row r="17" spans="1:6" ht="25.5">
      <c r="A17">
        <v>13</v>
      </c>
      <c r="B17" s="224">
        <v>40291</v>
      </c>
      <c r="C17" t="s">
        <v>185</v>
      </c>
      <c r="D17" s="225" t="s">
        <v>161</v>
      </c>
      <c r="E17" s="229" t="s">
        <v>189</v>
      </c>
      <c r="F17" s="201" t="s">
        <v>158</v>
      </c>
    </row>
    <row r="18" spans="1:6" ht="38.25">
      <c r="A18">
        <v>14</v>
      </c>
      <c r="B18" s="224">
        <v>40291</v>
      </c>
      <c r="C18" t="s">
        <v>185</v>
      </c>
      <c r="D18" s="225" t="s">
        <v>161</v>
      </c>
      <c r="E18" s="229" t="s">
        <v>190</v>
      </c>
      <c r="F18" s="201" t="s">
        <v>158</v>
      </c>
    </row>
    <row r="19" spans="1:6" ht="76.5">
      <c r="A19">
        <v>15</v>
      </c>
      <c r="B19" s="224">
        <v>40296</v>
      </c>
      <c r="C19" t="s">
        <v>191</v>
      </c>
      <c r="D19" s="225" t="s">
        <v>161</v>
      </c>
      <c r="E19" s="229" t="s">
        <v>213</v>
      </c>
      <c r="F19" s="201" t="s">
        <v>158</v>
      </c>
    </row>
    <row r="20" spans="1:6" ht="51">
      <c r="A20">
        <v>16</v>
      </c>
      <c r="B20" s="224">
        <v>40297</v>
      </c>
      <c r="C20" t="s">
        <v>191</v>
      </c>
      <c r="D20" s="225" t="s">
        <v>161</v>
      </c>
      <c r="E20" s="229" t="s">
        <v>215</v>
      </c>
      <c r="F20" s="201" t="s">
        <v>158</v>
      </c>
    </row>
    <row r="21" spans="1:6" ht="25.5">
      <c r="A21">
        <v>17</v>
      </c>
      <c r="B21" s="224">
        <v>40296</v>
      </c>
      <c r="C21" t="s">
        <v>191</v>
      </c>
      <c r="D21" s="230" t="s">
        <v>210</v>
      </c>
      <c r="E21" s="229" t="s">
        <v>192</v>
      </c>
      <c r="F21" s="201" t="s">
        <v>158</v>
      </c>
    </row>
    <row r="22" spans="1:6" ht="63.75">
      <c r="A22">
        <v>18</v>
      </c>
      <c r="B22" s="224">
        <v>40297</v>
      </c>
      <c r="C22" t="s">
        <v>191</v>
      </c>
      <c r="D22" s="225" t="s">
        <v>161</v>
      </c>
      <c r="E22" s="229" t="s">
        <v>216</v>
      </c>
      <c r="F22" s="201" t="s">
        <v>158</v>
      </c>
    </row>
    <row r="23" spans="1:6" ht="76.5">
      <c r="A23">
        <v>19</v>
      </c>
      <c r="B23" s="224">
        <v>40296</v>
      </c>
      <c r="C23" t="s">
        <v>191</v>
      </c>
      <c r="D23" s="225" t="s">
        <v>161</v>
      </c>
      <c r="E23" s="229" t="s">
        <v>212</v>
      </c>
      <c r="F23" s="201" t="s">
        <v>158</v>
      </c>
    </row>
    <row r="24" spans="1:6" ht="38.25">
      <c r="A24">
        <v>20</v>
      </c>
      <c r="B24" s="224">
        <v>40299</v>
      </c>
      <c r="C24" t="s">
        <v>217</v>
      </c>
      <c r="D24" s="225" t="s">
        <v>161</v>
      </c>
      <c r="E24" s="229" t="s">
        <v>218</v>
      </c>
      <c r="F24" s="201" t="s">
        <v>158</v>
      </c>
    </row>
    <row r="25" spans="1:6" ht="51">
      <c r="A25">
        <v>21</v>
      </c>
      <c r="B25" s="224">
        <v>40373</v>
      </c>
      <c r="C25" t="s">
        <v>221</v>
      </c>
      <c r="D25" s="225" t="s">
        <v>161</v>
      </c>
      <c r="E25" s="229" t="s">
        <v>219</v>
      </c>
      <c r="F25" s="201" t="s">
        <v>158</v>
      </c>
    </row>
    <row r="26" spans="1:6" ht="63.75">
      <c r="A26">
        <v>22</v>
      </c>
      <c r="B26" s="224">
        <v>40373</v>
      </c>
      <c r="C26" t="s">
        <v>221</v>
      </c>
      <c r="D26" s="225" t="s">
        <v>187</v>
      </c>
      <c r="E26" s="229" t="s">
        <v>220</v>
      </c>
      <c r="F26" s="201" t="s">
        <v>158</v>
      </c>
    </row>
    <row r="27" spans="1:6" ht="63.75">
      <c r="A27">
        <v>23</v>
      </c>
      <c r="B27" s="224">
        <v>40378</v>
      </c>
      <c r="C27" t="s">
        <v>222</v>
      </c>
      <c r="D27" s="225" t="s">
        <v>161</v>
      </c>
      <c r="E27" s="229" t="s">
        <v>223</v>
      </c>
      <c r="F27" s="201" t="s">
        <v>158</v>
      </c>
    </row>
    <row r="28" spans="1:6" ht="63.75">
      <c r="A28">
        <v>24</v>
      </c>
      <c r="B28" s="224">
        <v>40382</v>
      </c>
      <c r="C28" t="s">
        <v>224</v>
      </c>
      <c r="D28" s="225" t="s">
        <v>161</v>
      </c>
      <c r="E28" s="229" t="s">
        <v>225</v>
      </c>
      <c r="F28" s="201" t="s">
        <v>158</v>
      </c>
    </row>
    <row r="29" spans="1:6" ht="63.75">
      <c r="A29">
        <v>25</v>
      </c>
      <c r="B29" s="224">
        <v>40401</v>
      </c>
      <c r="C29" t="s">
        <v>226</v>
      </c>
      <c r="D29" s="225" t="s">
        <v>161</v>
      </c>
      <c r="E29" s="229" t="s">
        <v>227</v>
      </c>
      <c r="F29" s="201" t="s">
        <v>158</v>
      </c>
    </row>
    <row r="30" spans="1:6" ht="102">
      <c r="A30">
        <v>26</v>
      </c>
      <c r="B30" s="224">
        <v>40401</v>
      </c>
      <c r="C30" t="s">
        <v>226</v>
      </c>
      <c r="D30" s="225" t="s">
        <v>161</v>
      </c>
      <c r="E30" s="229" t="s">
        <v>238</v>
      </c>
      <c r="F30" s="201" t="s">
        <v>158</v>
      </c>
    </row>
    <row r="31" spans="1:6" ht="38.25">
      <c r="A31">
        <v>27</v>
      </c>
      <c r="B31" s="224">
        <v>40413</v>
      </c>
      <c r="C31" t="s">
        <v>239</v>
      </c>
      <c r="D31" s="225" t="s">
        <v>161</v>
      </c>
      <c r="E31" s="229" t="s">
        <v>240</v>
      </c>
      <c r="F31" s="201" t="s">
        <v>158</v>
      </c>
    </row>
    <row r="32" spans="1:6" ht="216.75">
      <c r="A32">
        <v>28</v>
      </c>
      <c r="B32" s="224">
        <v>40471</v>
      </c>
      <c r="C32" t="s">
        <v>241</v>
      </c>
      <c r="D32" s="230" t="s">
        <v>187</v>
      </c>
      <c r="E32" s="229" t="s">
        <v>244</v>
      </c>
      <c r="F32" s="201" t="s">
        <v>158</v>
      </c>
    </row>
    <row r="33" spans="1:6" ht="25.5">
      <c r="A33">
        <v>29</v>
      </c>
      <c r="B33" s="224">
        <v>40472</v>
      </c>
      <c r="C33" t="s">
        <v>241</v>
      </c>
      <c r="D33" s="230" t="s">
        <v>268</v>
      </c>
      <c r="E33" s="229" t="s">
        <v>269</v>
      </c>
      <c r="F33" s="201" t="s">
        <v>158</v>
      </c>
    </row>
    <row r="34" spans="1:6" ht="102">
      <c r="A34">
        <v>30</v>
      </c>
      <c r="B34" s="224">
        <v>40472</v>
      </c>
      <c r="C34" t="s">
        <v>241</v>
      </c>
      <c r="D34" s="230" t="s">
        <v>276</v>
      </c>
      <c r="E34" s="229" t="s">
        <v>281</v>
      </c>
      <c r="F34" s="201" t="s">
        <v>158</v>
      </c>
    </row>
    <row r="35" spans="1:6" ht="38.25">
      <c r="A35">
        <v>31</v>
      </c>
      <c r="B35" s="224">
        <v>40473</v>
      </c>
      <c r="C35" t="s">
        <v>241</v>
      </c>
      <c r="D35" s="230" t="s">
        <v>161</v>
      </c>
      <c r="E35" s="229" t="s">
        <v>282</v>
      </c>
      <c r="F35" s="201" t="s">
        <v>158</v>
      </c>
    </row>
    <row r="36" spans="1:6" ht="63.75">
      <c r="A36">
        <v>32</v>
      </c>
      <c r="B36" s="224">
        <v>40686</v>
      </c>
      <c r="C36" s="201" t="s">
        <v>284</v>
      </c>
      <c r="D36" s="230" t="s">
        <v>161</v>
      </c>
      <c r="E36" s="229" t="s">
        <v>286</v>
      </c>
      <c r="F36" s="201" t="s">
        <v>158</v>
      </c>
    </row>
    <row r="37" spans="1:6" ht="38.25">
      <c r="A37">
        <v>33</v>
      </c>
      <c r="B37" s="224">
        <v>40686</v>
      </c>
      <c r="C37" s="201" t="s">
        <v>284</v>
      </c>
      <c r="D37" s="230" t="s">
        <v>161</v>
      </c>
      <c r="E37" s="229" t="s">
        <v>285</v>
      </c>
      <c r="F37" s="201" t="s">
        <v>158</v>
      </c>
    </row>
    <row r="38" spans="1:6" ht="127.5">
      <c r="A38">
        <v>34</v>
      </c>
      <c r="B38" s="224">
        <v>40687</v>
      </c>
      <c r="C38" s="201" t="s">
        <v>284</v>
      </c>
      <c r="D38" s="230" t="s">
        <v>161</v>
      </c>
      <c r="E38" s="229" t="s">
        <v>287</v>
      </c>
      <c r="F38" s="201" t="s">
        <v>158</v>
      </c>
    </row>
    <row r="39" spans="1:6" ht="89.25">
      <c r="A39">
        <v>35</v>
      </c>
      <c r="B39" s="224">
        <v>40702</v>
      </c>
      <c r="C39" s="201" t="s">
        <v>288</v>
      </c>
      <c r="D39" s="364" t="s">
        <v>161</v>
      </c>
      <c r="E39" s="229" t="s">
        <v>289</v>
      </c>
      <c r="F39" s="201" t="s">
        <v>158</v>
      </c>
    </row>
    <row r="40" spans="1:6" ht="357">
      <c r="A40">
        <v>36</v>
      </c>
      <c r="B40" s="224">
        <v>40710</v>
      </c>
      <c r="C40" s="201" t="s">
        <v>288</v>
      </c>
      <c r="D40" s="364" t="s">
        <v>161</v>
      </c>
      <c r="E40" s="229" t="s">
        <v>290</v>
      </c>
      <c r="F40" s="201" t="s">
        <v>158</v>
      </c>
    </row>
  </sheetData>
  <phoneticPr fontId="6" type="noConversion"/>
  <hyperlinks>
    <hyperlink ref="D5" location="'04-07 LIEE Tables'!A1" display="'04-07 LIEE Tables'!A1"/>
    <hyperlink ref="D6" location="'RRM Calculator'!A1" display="'RRM Calculator'!A1"/>
    <hyperlink ref="D7" location="'C&amp;S_2006-8'!A1" display="'C&amp;S_2006-8'!A1"/>
    <hyperlink ref="D8" location="'RRM Calculator'!A1" display="'RRM Calculator'!A1"/>
    <hyperlink ref="D9" location="'RRM Calculator'!A1" display="'RRM Calculator'!A1"/>
    <hyperlink ref="D10" location="'RRM Calculator'!A1" display="'RRM Calculator'!A1"/>
    <hyperlink ref="D11" location="'RRM Calculator'!A1" display="'RRM Calculator'!A1"/>
    <hyperlink ref="D12" location="'RRM Calculator'!A1" display="'RRM Calculator'!A1"/>
    <hyperlink ref="D13" location="'RRM Calculator'!A1" display="'RRM Calculator'!A1"/>
    <hyperlink ref="D14" location="'RRM Calculator'!A1" display="'RRM Calculator'!A1"/>
    <hyperlink ref="D15" location="'C&amp;S_2006-8'!A1" display="'C&amp;S_2006-8'!A1"/>
    <hyperlink ref="D16" location="'Savings Goals D.04-09-060'!A1" display="'Savings Goals D.04-09-060'!A1"/>
    <hyperlink ref="D17" location="'RRM Calculator'!A1" display="'RRM Calculator'!A1"/>
    <hyperlink ref="D18" location="'RRM Calculator'!A1" display="'RRM Calculator'!A1"/>
    <hyperlink ref="D19" location="'RRM Calculator'!A1" display="'RRM Calculator'!A1"/>
    <hyperlink ref="D20" location="'RRM Calculator'!A1" display="'RRM Calculator'!A1"/>
    <hyperlink ref="D21" location="'Authorized Payments'!A1" display="'Authorized Payments'!A1"/>
    <hyperlink ref="D22" location="'RRM Calculator'!A1" display="'RRM Calculator'!A1"/>
    <hyperlink ref="D23" location="'RRM Calculator'!A1" display="'RRM Calculator'!A1"/>
    <hyperlink ref="D24" location="'RRM Calculator'!A1" display="'RRM Calculator'!A1"/>
    <hyperlink ref="D25" location="'RRM Calculator'!A1" display="'RRM Calculator'!A1"/>
    <hyperlink ref="D26" location="'Savings Goals D.04-09-060'!A1" display="'Savings Goals D.04-09-060'!A1"/>
    <hyperlink ref="D27" location="'RRM Calculator'!A1" display="'RRM Calculator'!A1"/>
    <hyperlink ref="D28" location="'RRM Calculator'!A1" display="'RRM Calculator'!A1"/>
    <hyperlink ref="D29" location="'RRM Calculator'!A1" display="'RRM Calculator'!A1"/>
    <hyperlink ref="D30" location="'RRM Calculator'!A1" display="'RRM Calculator'!A1"/>
    <hyperlink ref="D31" location="'RRM Calculator'!A1" display="'RRM Calculator'!A1"/>
    <hyperlink ref="D32" location="'Savings Goals D.04-09-060'!A1" display="'Savings Goals D.04-09-060'!A1"/>
    <hyperlink ref="D33" location="'04-09 LIEE Tables'!A1" display="'04-09 LIEE Tables'!A1"/>
    <hyperlink ref="D34" location="'C&amp;S2006-09'!A1" display="'C&amp;S2006-09'!A1"/>
    <hyperlink ref="D35" location="'RRM Calculator'!A1" display="'RRM Calculator'!A1"/>
    <hyperlink ref="D36:D37" location="'RRM Calculator'!A1" display="'RRM Calculator'!A1"/>
    <hyperlink ref="D38" location="'RRM Calculator'!A1" display="'RRM Calculator'!A1"/>
    <hyperlink ref="D39" location="'RRM Calculator'!A1" display="'RRM Calculator'!A1"/>
    <hyperlink ref="D40" location="'RRM Calculator'!A1" display="'RRM Calculator'!A1"/>
  </hyperlinks>
  <pageMargins left="0.75" right="0.75" top="1" bottom="1" header="0.5" footer="0.5"/>
  <pageSetup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sheetPr codeName="Sheet2"/>
  <dimension ref="B1:AB54"/>
  <sheetViews>
    <sheetView showGridLines="0" showZeros="0" topLeftCell="A22" zoomScale="80" zoomScaleNormal="80" workbookViewId="0">
      <selection activeCell="G46" sqref="G46"/>
    </sheetView>
  </sheetViews>
  <sheetFormatPr defaultColWidth="9.42578125" defaultRowHeight="12.75"/>
  <cols>
    <col min="1" max="1" width="1.28515625" style="38" customWidth="1"/>
    <col min="2" max="2" width="51" style="38" customWidth="1"/>
    <col min="3" max="3" width="14.7109375" style="38" customWidth="1"/>
    <col min="4" max="4" width="46.85546875" style="38" customWidth="1"/>
    <col min="5" max="10" width="14.7109375" style="38" customWidth="1"/>
    <col min="11" max="11" width="17" style="38" customWidth="1"/>
    <col min="12" max="14" width="14.7109375" style="38" customWidth="1"/>
    <col min="15" max="15" width="23.140625" style="38" customWidth="1"/>
    <col min="16" max="16384" width="9.42578125" style="38"/>
  </cols>
  <sheetData>
    <row r="1" spans="2:14" ht="15.75">
      <c r="B1" s="37" t="s">
        <v>132</v>
      </c>
    </row>
    <row r="2" spans="2:14" ht="15" customHeight="1">
      <c r="B2" s="37"/>
      <c r="C2" s="39"/>
      <c r="D2" s="39"/>
      <c r="E2" s="39"/>
      <c r="F2" s="39"/>
      <c r="G2" s="39"/>
      <c r="H2" s="39"/>
      <c r="I2" s="39"/>
      <c r="J2" s="39"/>
      <c r="K2" s="39"/>
      <c r="L2" s="39"/>
      <c r="M2" s="39"/>
      <c r="N2" s="39"/>
    </row>
    <row r="3" spans="2:14" s="40" customFormat="1" ht="16.5" thickBot="1"/>
    <row r="4" spans="2:14" s="40" customFormat="1" ht="15.75">
      <c r="B4" s="41"/>
      <c r="C4" s="42"/>
      <c r="D4" s="43"/>
      <c r="E4" s="44"/>
      <c r="F4" s="42"/>
      <c r="G4" s="43"/>
      <c r="H4" s="44"/>
      <c r="I4" s="42"/>
      <c r="J4" s="43"/>
      <c r="K4" s="44"/>
      <c r="L4" s="42"/>
      <c r="M4" s="43"/>
      <c r="N4" s="44"/>
    </row>
    <row r="5" spans="2:14" ht="27" thickBot="1">
      <c r="B5" s="45"/>
      <c r="C5" s="46" t="s">
        <v>177</v>
      </c>
      <c r="D5" s="47" t="s">
        <v>133</v>
      </c>
      <c r="E5" s="48" t="s">
        <v>134</v>
      </c>
      <c r="F5" s="46" t="s">
        <v>178</v>
      </c>
      <c r="G5" s="47" t="s">
        <v>135</v>
      </c>
      <c r="H5" s="48" t="s">
        <v>136</v>
      </c>
      <c r="I5" s="46" t="s">
        <v>179</v>
      </c>
      <c r="J5" s="47" t="s">
        <v>137</v>
      </c>
      <c r="K5" s="48" t="s">
        <v>138</v>
      </c>
      <c r="L5" s="46" t="s">
        <v>180</v>
      </c>
      <c r="M5" s="47" t="s">
        <v>139</v>
      </c>
      <c r="N5" s="48" t="s">
        <v>140</v>
      </c>
    </row>
    <row r="6" spans="2:14" ht="4.5" customHeight="1" thickBot="1">
      <c r="B6" s="45"/>
      <c r="C6" s="49"/>
      <c r="D6" s="50"/>
      <c r="E6" s="50"/>
      <c r="F6" s="49"/>
      <c r="G6" s="50"/>
      <c r="H6" s="50"/>
      <c r="I6" s="49"/>
      <c r="J6" s="50"/>
      <c r="K6" s="50"/>
      <c r="L6" s="49"/>
      <c r="M6" s="50"/>
      <c r="N6" s="50"/>
    </row>
    <row r="7" spans="2:14" ht="15.75">
      <c r="B7" s="51" t="s">
        <v>21</v>
      </c>
      <c r="C7" s="52"/>
      <c r="D7" s="53"/>
      <c r="E7" s="54"/>
      <c r="F7" s="52"/>
      <c r="G7" s="53"/>
      <c r="H7" s="54"/>
      <c r="I7" s="52"/>
      <c r="J7" s="53"/>
      <c r="K7" s="54"/>
      <c r="L7" s="52"/>
      <c r="M7" s="53"/>
      <c r="N7" s="54"/>
    </row>
    <row r="8" spans="2:14">
      <c r="B8" s="55" t="s">
        <v>22</v>
      </c>
      <c r="C8" s="56"/>
      <c r="D8" s="57"/>
      <c r="E8" s="58"/>
      <c r="F8" s="56"/>
      <c r="G8" s="57"/>
      <c r="H8" s="58"/>
      <c r="I8" s="56"/>
      <c r="J8" s="57"/>
      <c r="K8" s="58"/>
      <c r="L8" s="56"/>
      <c r="M8" s="57"/>
      <c r="N8" s="58"/>
    </row>
    <row r="9" spans="2:14">
      <c r="B9" s="59" t="s">
        <v>17</v>
      </c>
      <c r="C9" s="60"/>
      <c r="D9" s="60">
        <f>SUM(PGEAdj!B:B)</f>
        <v>0</v>
      </c>
      <c r="E9" s="61"/>
      <c r="F9" s="60"/>
      <c r="G9" s="60">
        <f>SUM(SCEAdj!B:B)</f>
        <v>0</v>
      </c>
      <c r="H9" s="61"/>
      <c r="I9" s="60">
        <f>E27/1000000</f>
        <v>550.7515535275212</v>
      </c>
      <c r="J9" s="60">
        <f>SUM(SDGEAdj!B:B)</f>
        <v>0</v>
      </c>
      <c r="K9" s="61">
        <f>I9+J9</f>
        <v>550.7515535275212</v>
      </c>
      <c r="L9" s="62"/>
      <c r="M9" s="63">
        <f>SUM(SoCalGasAdj!B:B)</f>
        <v>0</v>
      </c>
      <c r="N9" s="64">
        <f>L9+M9</f>
        <v>0</v>
      </c>
    </row>
    <row r="10" spans="2:14">
      <c r="B10" s="59" t="s">
        <v>5</v>
      </c>
      <c r="C10" s="60"/>
      <c r="D10" s="60">
        <f>SUM(PGEAdj!C:C)</f>
        <v>0</v>
      </c>
      <c r="E10" s="61"/>
      <c r="F10" s="60"/>
      <c r="G10" s="60">
        <f>SUM(SCEAdj!C:C)</f>
        <v>0</v>
      </c>
      <c r="H10" s="61"/>
      <c r="I10" s="60">
        <f>F27/1000</f>
        <v>118.12037965056193</v>
      </c>
      <c r="J10" s="60">
        <f>SUM(SDGEAdj!C:C)</f>
        <v>0</v>
      </c>
      <c r="K10" s="61">
        <f>I10+J10</f>
        <v>118.12037965056193</v>
      </c>
      <c r="L10" s="65"/>
      <c r="M10" s="66">
        <f>SUM(SoCalGasAdj!C:C)</f>
        <v>0</v>
      </c>
      <c r="N10" s="67">
        <f>L10+M10</f>
        <v>0</v>
      </c>
    </row>
    <row r="11" spans="2:14">
      <c r="B11" s="68" t="s">
        <v>18</v>
      </c>
      <c r="C11" s="69"/>
      <c r="D11" s="69">
        <f>SUM(PGEAdj!D:D)</f>
        <v>0</v>
      </c>
      <c r="E11" s="70"/>
      <c r="F11" s="71"/>
      <c r="G11" s="72">
        <f>SUM(SCEAdj!D:D)</f>
        <v>0</v>
      </c>
      <c r="H11" s="73">
        <f>F11+G11</f>
        <v>0</v>
      </c>
      <c r="I11" s="69">
        <f>G27/1000000</f>
        <v>3.3192143780722021</v>
      </c>
      <c r="J11" s="69">
        <f>SUM(SDGEAdj!D:D)</f>
        <v>0</v>
      </c>
      <c r="K11" s="61">
        <f>I11+J11</f>
        <v>3.3192143780722021</v>
      </c>
      <c r="L11" s="69">
        <f>G46/1000000</f>
        <v>20.74293382669039</v>
      </c>
      <c r="M11" s="69">
        <f>SUM([1]SoCalGasAdj!D$1:D$65536)</f>
        <v>0</v>
      </c>
      <c r="N11" s="70">
        <f>L11+M11</f>
        <v>20.74293382669039</v>
      </c>
    </row>
    <row r="12" spans="2:14" ht="5.0999999999999996" customHeight="1" thickBot="1">
      <c r="B12" s="74"/>
      <c r="C12" s="75"/>
      <c r="D12" s="75"/>
      <c r="E12" s="76"/>
      <c r="F12" s="75"/>
      <c r="G12" s="75"/>
      <c r="H12" s="76"/>
      <c r="I12" s="75"/>
      <c r="J12" s="75"/>
      <c r="K12" s="76"/>
      <c r="L12" s="75"/>
      <c r="M12" s="75"/>
      <c r="N12" s="76">
        <f>L11+M11</f>
        <v>20.74293382669039</v>
      </c>
    </row>
    <row r="13" spans="2:14" ht="15.75">
      <c r="B13" s="51" t="s">
        <v>35</v>
      </c>
      <c r="C13" s="77"/>
      <c r="D13" s="78"/>
      <c r="E13" s="79"/>
      <c r="F13" s="77"/>
      <c r="G13" s="78"/>
      <c r="H13" s="79"/>
      <c r="I13" s="77"/>
      <c r="J13" s="78"/>
      <c r="K13" s="79"/>
      <c r="L13" s="77"/>
      <c r="M13" s="78"/>
      <c r="N13" s="79"/>
    </row>
    <row r="14" spans="2:14">
      <c r="B14" s="80" t="s">
        <v>36</v>
      </c>
      <c r="C14" s="81"/>
      <c r="D14" s="82">
        <f>SUM(PGEAdj!E:E)</f>
        <v>0</v>
      </c>
      <c r="E14" s="83">
        <f>C14+D14</f>
        <v>0</v>
      </c>
      <c r="F14" s="81"/>
      <c r="G14" s="82">
        <f>SUM(SCEAdj!E:E)</f>
        <v>0</v>
      </c>
      <c r="H14" s="83">
        <f>F14+G14</f>
        <v>0</v>
      </c>
      <c r="I14" s="367">
        <f>E37</f>
        <v>200684345.70415986</v>
      </c>
      <c r="J14" s="82">
        <f>SUM(SDGEAdj!E:E)</f>
        <v>0</v>
      </c>
      <c r="K14" s="83">
        <f>I14+J14</f>
        <v>200684345.70415986</v>
      </c>
      <c r="L14" s="367">
        <v>20239687.170072854</v>
      </c>
      <c r="M14" s="82">
        <f>SUM(SoCalGasAdj!E:E)</f>
        <v>0</v>
      </c>
      <c r="N14" s="83">
        <f>L14+M14</f>
        <v>20239687.170072854</v>
      </c>
    </row>
    <row r="15" spans="2:14" ht="13.5" thickBot="1">
      <c r="B15" s="84" t="s">
        <v>37</v>
      </c>
      <c r="C15" s="85"/>
      <c r="D15" s="86">
        <f>SUM(PGEAdj!F:F)</f>
        <v>0</v>
      </c>
      <c r="E15" s="87">
        <f>C15+D15</f>
        <v>0</v>
      </c>
      <c r="F15" s="85"/>
      <c r="G15" s="86">
        <f>SUM(SCEAdj!F:F)</f>
        <v>0</v>
      </c>
      <c r="H15" s="87">
        <f>F15+G15</f>
        <v>0</v>
      </c>
      <c r="I15" s="368">
        <f>F37</f>
        <v>246118336.99357092</v>
      </c>
      <c r="J15" s="86">
        <f>SUM(SDGEAdj!F:F)</f>
        <v>0</v>
      </c>
      <c r="K15" s="87">
        <f>I15+J15</f>
        <v>246118336.99357092</v>
      </c>
      <c r="L15" s="368">
        <v>46851514.827926271</v>
      </c>
      <c r="M15" s="86">
        <f>SUM(SoCalGasAdj!F:F)</f>
        <v>0</v>
      </c>
      <c r="N15" s="87">
        <f>L15+M15</f>
        <v>46851514.827926271</v>
      </c>
    </row>
    <row r="16" spans="2:14" ht="5.0999999999999996" customHeight="1">
      <c r="B16" s="88"/>
      <c r="C16" s="89"/>
      <c r="D16" s="89"/>
      <c r="E16" s="89"/>
      <c r="F16" s="89"/>
      <c r="G16" s="89"/>
      <c r="H16" s="89"/>
      <c r="I16" s="89"/>
      <c r="J16" s="89"/>
      <c r="K16" s="89"/>
      <c r="L16" s="89"/>
      <c r="M16" s="89"/>
      <c r="N16" s="89"/>
    </row>
    <row r="17" spans="2:28" ht="18" customHeight="1" thickBot="1">
      <c r="B17" s="88"/>
      <c r="C17" s="88"/>
      <c r="D17" s="88"/>
      <c r="E17" s="88"/>
      <c r="F17" s="88"/>
      <c r="G17" s="88"/>
      <c r="H17" s="88"/>
      <c r="I17" s="88"/>
      <c r="J17" s="88"/>
      <c r="K17" s="88"/>
      <c r="L17" s="88"/>
      <c r="M17" s="88"/>
      <c r="N17" s="88"/>
    </row>
    <row r="18" spans="2:28" ht="18" customHeight="1" thickBot="1">
      <c r="B18" s="88" t="s">
        <v>141</v>
      </c>
      <c r="C18" s="88"/>
      <c r="D18" s="399" t="s">
        <v>12</v>
      </c>
      <c r="E18" s="88"/>
      <c r="F18" s="88"/>
      <c r="G18" s="88"/>
      <c r="H18" s="88"/>
      <c r="I18" s="88"/>
      <c r="J18" s="88"/>
      <c r="K18" s="88"/>
      <c r="L18" s="88"/>
      <c r="M18" s="88"/>
      <c r="N18" s="88"/>
    </row>
    <row r="19" spans="2:28" ht="18" customHeight="1" thickBot="1">
      <c r="B19" s="88" t="s">
        <v>181</v>
      </c>
      <c r="C19" s="88"/>
      <c r="D19" s="374" t="s">
        <v>303</v>
      </c>
      <c r="E19" s="88"/>
      <c r="F19" s="88"/>
      <c r="G19" s="88"/>
      <c r="H19" s="88"/>
      <c r="I19" s="88"/>
      <c r="J19" s="88"/>
      <c r="K19" s="88"/>
      <c r="L19" s="88"/>
      <c r="M19" s="88"/>
      <c r="N19" s="88"/>
    </row>
    <row r="20" spans="2:28" ht="13.5" thickBot="1">
      <c r="B20" s="38" t="s">
        <v>142</v>
      </c>
      <c r="D20" s="88"/>
      <c r="E20" s="372" t="s">
        <v>298</v>
      </c>
      <c r="F20" s="373" t="s">
        <v>299</v>
      </c>
      <c r="G20" s="375" t="s">
        <v>300</v>
      </c>
      <c r="H20" s="452" t="s">
        <v>301</v>
      </c>
      <c r="I20" s="452"/>
      <c r="J20" s="452"/>
      <c r="K20" s="453"/>
      <c r="L20" s="456" t="s">
        <v>335</v>
      </c>
      <c r="M20" s="452"/>
      <c r="N20" s="452"/>
      <c r="O20" s="452"/>
      <c r="P20" s="452"/>
      <c r="Q20" s="452"/>
      <c r="R20" s="452"/>
      <c r="S20" s="453"/>
    </row>
    <row r="21" spans="2:28">
      <c r="D21" s="378" t="s">
        <v>291</v>
      </c>
      <c r="E21" s="431">
        <v>682140299.5250107</v>
      </c>
      <c r="F21" s="432">
        <v>119221.69402286771</v>
      </c>
      <c r="G21" s="433">
        <v>5268866.1146059074</v>
      </c>
      <c r="H21" s="400" t="s">
        <v>323</v>
      </c>
      <c r="I21" s="429"/>
      <c r="J21" s="429"/>
      <c r="K21" s="430"/>
      <c r="L21" s="443" t="s">
        <v>326</v>
      </c>
    </row>
    <row r="22" spans="2:28">
      <c r="D22" s="378" t="s">
        <v>292</v>
      </c>
      <c r="E22" s="435">
        <v>12238261.293792</v>
      </c>
      <c r="F22" s="436">
        <v>4001.8821478399996</v>
      </c>
      <c r="G22" s="437">
        <v>1363334.2880000002</v>
      </c>
      <c r="H22" s="403" t="s">
        <v>324</v>
      </c>
      <c r="I22" s="406"/>
      <c r="J22" s="406"/>
      <c r="K22" s="434"/>
      <c r="L22" s="443" t="s">
        <v>326</v>
      </c>
    </row>
    <row r="23" spans="2:28" ht="13.5" thickBot="1">
      <c r="D23" s="382" t="s">
        <v>293</v>
      </c>
      <c r="E23" s="370">
        <f>SUM(E21:E22)</f>
        <v>694378560.81880271</v>
      </c>
      <c r="F23" s="371">
        <f>SUM(F21:F22)</f>
        <v>123223.57617070772</v>
      </c>
      <c r="G23" s="376">
        <f>SUM(G21:G22)</f>
        <v>6632200.402605908</v>
      </c>
      <c r="H23" s="438"/>
      <c r="I23" s="404"/>
      <c r="J23" s="404"/>
      <c r="K23" s="407"/>
    </row>
    <row r="24" spans="2:28">
      <c r="D24" s="378" t="s">
        <v>294</v>
      </c>
      <c r="E24" s="415">
        <v>421050446.01573396</v>
      </c>
      <c r="F24" s="416">
        <v>94052.530443268508</v>
      </c>
      <c r="G24" s="417">
        <v>2698659.4284900995</v>
      </c>
      <c r="H24" s="403" t="s">
        <v>325</v>
      </c>
      <c r="I24" s="404"/>
      <c r="J24" s="404"/>
      <c r="K24" s="407"/>
      <c r="L24" s="444" t="s">
        <v>327</v>
      </c>
      <c r="M24" s="184"/>
      <c r="N24" s="184"/>
      <c r="O24" s="184"/>
      <c r="P24" s="184"/>
      <c r="Q24" s="184"/>
      <c r="R24" s="184"/>
      <c r="S24" s="184"/>
      <c r="T24" s="184"/>
      <c r="U24" s="184"/>
      <c r="V24" s="184"/>
      <c r="W24" s="184"/>
      <c r="X24" s="184"/>
      <c r="Y24" s="184"/>
      <c r="Z24" s="184"/>
      <c r="AA24" s="184"/>
      <c r="AB24" s="184"/>
    </row>
    <row r="25" spans="2:28">
      <c r="D25" s="378" t="s">
        <v>295</v>
      </c>
      <c r="E25" s="408">
        <v>34511028.00150872</v>
      </c>
      <c r="F25" s="409">
        <v>10066.244060633107</v>
      </c>
      <c r="G25" s="410">
        <v>2003512.299306615</v>
      </c>
      <c r="H25" s="403" t="s">
        <v>312</v>
      </c>
      <c r="I25" s="406"/>
      <c r="J25" s="404"/>
      <c r="K25" s="407"/>
      <c r="L25" s="444" t="s">
        <v>328</v>
      </c>
      <c r="M25" s="184"/>
      <c r="N25" s="184"/>
      <c r="O25" s="184"/>
      <c r="P25" s="184"/>
      <c r="Q25" s="184"/>
      <c r="R25" s="184"/>
      <c r="S25" s="184"/>
      <c r="T25" s="184"/>
      <c r="U25" s="184"/>
      <c r="V25" s="184"/>
      <c r="W25" s="184"/>
      <c r="X25" s="184"/>
      <c r="Y25" s="184"/>
      <c r="Z25" s="184"/>
      <c r="AA25" s="184"/>
      <c r="AB25" s="184"/>
    </row>
    <row r="26" spans="2:28" ht="13.5" thickBot="1">
      <c r="D26" s="378" t="s">
        <v>302</v>
      </c>
      <c r="E26" s="424">
        <v>95190079.510278553</v>
      </c>
      <c r="F26" s="425">
        <v>14001.605146660302</v>
      </c>
      <c r="G26" s="426">
        <v>-1382957.3497245125</v>
      </c>
      <c r="H26" s="418" t="s">
        <v>321</v>
      </c>
      <c r="I26" s="421"/>
      <c r="J26" s="422"/>
      <c r="K26" s="423"/>
      <c r="L26" s="444" t="s">
        <v>329</v>
      </c>
      <c r="M26" s="184"/>
      <c r="N26" s="184"/>
      <c r="O26" s="184"/>
      <c r="P26" s="184"/>
      <c r="Q26" s="184"/>
      <c r="R26" s="184"/>
      <c r="S26" s="184"/>
      <c r="T26" s="184"/>
      <c r="U26" s="184"/>
      <c r="V26" s="184"/>
      <c r="W26" s="184"/>
      <c r="X26" s="184"/>
      <c r="Y26" s="184"/>
      <c r="Z26" s="184"/>
      <c r="AA26" s="184"/>
      <c r="AB26" s="184"/>
    </row>
    <row r="27" spans="2:28" ht="13.5" thickBot="1">
      <c r="D27" s="382" t="s">
        <v>296</v>
      </c>
      <c r="E27" s="365">
        <f>SUM(E24:E26)</f>
        <v>550751553.52752125</v>
      </c>
      <c r="F27" s="366">
        <f>SUM(F24:F26)</f>
        <v>118120.37965056192</v>
      </c>
      <c r="G27" s="377">
        <f>SUM(G24:G26)</f>
        <v>3319214.3780722022</v>
      </c>
      <c r="H27" s="88"/>
      <c r="I27" s="88"/>
      <c r="J27" s="88"/>
      <c r="K27" s="88"/>
    </row>
    <row r="28" spans="2:28" ht="13.5" thickBot="1">
      <c r="D28" s="382" t="s">
        <v>297</v>
      </c>
      <c r="E28" s="389">
        <f>E23+E27</f>
        <v>1245130114.346324</v>
      </c>
      <c r="F28" s="389">
        <f>F23+F27</f>
        <v>241343.95582126966</v>
      </c>
      <c r="G28" s="383">
        <f>G23+G27</f>
        <v>9951414.7806781102</v>
      </c>
      <c r="H28" s="88"/>
      <c r="I28" s="88"/>
      <c r="J28" s="88"/>
      <c r="K28" s="88"/>
    </row>
    <row r="29" spans="2:28" ht="13.5" thickBot="1"/>
    <row r="30" spans="2:28" ht="13.5" thickBot="1">
      <c r="D30" s="399" t="s">
        <v>12</v>
      </c>
      <c r="E30" s="369"/>
    </row>
    <row r="31" spans="2:28" ht="18.75" thickBot="1">
      <c r="D31" s="374" t="s">
        <v>35</v>
      </c>
    </row>
    <row r="32" spans="2:28" ht="13.5" thickBot="1">
      <c r="E32" s="380" t="s">
        <v>304</v>
      </c>
      <c r="F32" s="381" t="s">
        <v>305</v>
      </c>
      <c r="G32" s="381" t="s">
        <v>35</v>
      </c>
      <c r="H32" s="454" t="s">
        <v>301</v>
      </c>
      <c r="I32" s="454"/>
      <c r="J32" s="454"/>
      <c r="K32" s="455"/>
      <c r="L32" s="88"/>
    </row>
    <row r="33" spans="2:28">
      <c r="B33" s="392"/>
      <c r="D33" s="378" t="s">
        <v>307</v>
      </c>
      <c r="E33" s="411">
        <v>15206104.797199994</v>
      </c>
      <c r="F33" s="412">
        <v>18481610.639099993</v>
      </c>
      <c r="G33" s="412">
        <f>(E33*2/3)+(F33*1/3)</f>
        <v>16297940.077833327</v>
      </c>
      <c r="H33" s="400" t="s">
        <v>312</v>
      </c>
      <c r="I33" s="401"/>
      <c r="J33" s="401"/>
      <c r="K33" s="402"/>
      <c r="L33" s="444" t="s">
        <v>328</v>
      </c>
      <c r="M33" s="184"/>
      <c r="N33" s="184"/>
      <c r="O33" s="184"/>
      <c r="P33" s="184"/>
      <c r="Q33" s="184"/>
      <c r="R33" s="184"/>
      <c r="S33" s="184"/>
      <c r="T33" s="184"/>
      <c r="U33" s="184"/>
      <c r="V33" s="184"/>
      <c r="W33" s="184"/>
      <c r="X33" s="184"/>
      <c r="Y33" s="184"/>
      <c r="Z33" s="184"/>
      <c r="AA33" s="184"/>
      <c r="AB33" s="184"/>
    </row>
    <row r="34" spans="2:28">
      <c r="B34" s="392"/>
      <c r="D34" s="378" t="s">
        <v>306</v>
      </c>
      <c r="E34" s="414">
        <v>159354946.82989991</v>
      </c>
      <c r="F34" s="414">
        <v>195684873.90379986</v>
      </c>
      <c r="G34" s="414">
        <f>(E34*2/3)+(F34*1/3)</f>
        <v>171464922.52119988</v>
      </c>
      <c r="H34" s="403" t="s">
        <v>312</v>
      </c>
      <c r="I34" s="404"/>
      <c r="J34" s="404"/>
      <c r="K34" s="405"/>
      <c r="L34" s="444" t="s">
        <v>328</v>
      </c>
      <c r="M34" s="184"/>
      <c r="N34" s="184"/>
      <c r="O34" s="184"/>
      <c r="P34" s="184"/>
      <c r="Q34" s="184"/>
      <c r="R34" s="184"/>
      <c r="S34" s="184"/>
      <c r="T34" s="184"/>
      <c r="U34" s="184"/>
      <c r="V34" s="184"/>
      <c r="W34" s="184"/>
      <c r="X34" s="184"/>
      <c r="Y34" s="184"/>
      <c r="Z34" s="184"/>
      <c r="AA34" s="184"/>
      <c r="AB34" s="184"/>
    </row>
    <row r="35" spans="2:28" ht="15">
      <c r="B35" s="392"/>
      <c r="C35" s="88"/>
      <c r="D35" s="378" t="s">
        <v>311</v>
      </c>
      <c r="E35" s="419">
        <v>29951443.477299999</v>
      </c>
      <c r="F35" s="420">
        <v>29951443.477299999</v>
      </c>
      <c r="G35" s="414">
        <f>(E35*2/3)+(F35*1/3)</f>
        <v>29951443.477300003</v>
      </c>
      <c r="H35" s="403" t="s">
        <v>320</v>
      </c>
      <c r="I35" s="404"/>
      <c r="J35" s="404"/>
      <c r="K35" s="405"/>
      <c r="L35" s="445" t="s">
        <v>330</v>
      </c>
      <c r="M35" s="184"/>
      <c r="N35" s="184"/>
      <c r="O35" s="184"/>
      <c r="P35" s="184"/>
      <c r="Q35" s="184"/>
      <c r="R35" s="184"/>
      <c r="S35" s="184"/>
      <c r="T35" s="184"/>
      <c r="U35" s="184"/>
      <c r="V35" s="184"/>
      <c r="W35" s="184"/>
      <c r="X35" s="184"/>
      <c r="Y35" s="184"/>
      <c r="Z35" s="184"/>
      <c r="AA35" s="184"/>
      <c r="AB35" s="184"/>
    </row>
    <row r="36" spans="2:28" ht="13.5" thickBot="1">
      <c r="B36" s="392"/>
      <c r="C36" s="88"/>
      <c r="D36" s="378" t="s">
        <v>310</v>
      </c>
      <c r="E36" s="413">
        <v>-3828149.4002400418</v>
      </c>
      <c r="F36" s="414">
        <v>2000408.9733710992</v>
      </c>
      <c r="G36" s="414">
        <f>(E36*2/3)+(F36*1/3)</f>
        <v>-1885296.6090363283</v>
      </c>
      <c r="H36" s="418" t="s">
        <v>313</v>
      </c>
      <c r="I36" s="427"/>
      <c r="J36" s="427"/>
      <c r="K36" s="428"/>
      <c r="L36" s="445" t="s">
        <v>331</v>
      </c>
      <c r="M36" s="184"/>
      <c r="N36" s="184"/>
      <c r="O36" s="184"/>
      <c r="P36" s="184"/>
      <c r="Q36" s="184"/>
      <c r="R36" s="184"/>
      <c r="S36" s="184"/>
      <c r="T36" s="184"/>
      <c r="U36" s="184"/>
      <c r="V36" s="184"/>
      <c r="W36" s="184"/>
      <c r="X36" s="184"/>
      <c r="Y36" s="184"/>
      <c r="Z36" s="184"/>
      <c r="AA36" s="184"/>
      <c r="AB36" s="184"/>
    </row>
    <row r="37" spans="2:28" ht="13.5" thickBot="1">
      <c r="B37" s="392"/>
      <c r="C37" s="88"/>
      <c r="D37" s="382" t="s">
        <v>297</v>
      </c>
      <c r="E37" s="393">
        <f>SUM(E33:E36)</f>
        <v>200684345.70415986</v>
      </c>
      <c r="F37" s="394">
        <f>SUM(F33:F36)</f>
        <v>246118336.99357092</v>
      </c>
      <c r="G37" s="395">
        <f>(E37*2/3)+(F37*1/3)</f>
        <v>215829009.4672969</v>
      </c>
      <c r="H37" s="88"/>
      <c r="I37" s="88"/>
      <c r="J37" s="88"/>
      <c r="K37" s="88"/>
      <c r="L37" s="396"/>
      <c r="M37" s="184"/>
      <c r="N37" s="184"/>
      <c r="O37" s="184"/>
      <c r="P37" s="184"/>
      <c r="Q37" s="184"/>
      <c r="R37" s="184"/>
      <c r="S37" s="184"/>
      <c r="T37" s="184"/>
      <c r="U37" s="184"/>
      <c r="V37" s="184"/>
      <c r="W37" s="184"/>
      <c r="X37" s="184"/>
      <c r="Y37" s="184"/>
      <c r="Z37" s="184"/>
      <c r="AA37" s="184"/>
      <c r="AB37" s="184"/>
    </row>
    <row r="38" spans="2:28" ht="13.5" thickBot="1">
      <c r="E38" s="379"/>
      <c r="F38" s="379"/>
      <c r="G38" s="379"/>
    </row>
    <row r="39" spans="2:28" ht="13.5" thickBot="1">
      <c r="D39" s="399" t="s">
        <v>52</v>
      </c>
    </row>
    <row r="40" spans="2:28" ht="18.75" thickBot="1">
      <c r="D40" s="374" t="s">
        <v>303</v>
      </c>
      <c r="G40" s="388" t="s">
        <v>300</v>
      </c>
      <c r="H40" s="452" t="s">
        <v>301</v>
      </c>
      <c r="I40" s="452"/>
      <c r="J40" s="452"/>
      <c r="K40" s="453"/>
      <c r="L40" s="184"/>
      <c r="M40" s="184"/>
      <c r="N40" s="184"/>
      <c r="O40" s="184"/>
      <c r="P40" s="184"/>
      <c r="Q40" s="184"/>
      <c r="R40" s="184"/>
      <c r="S40" s="184"/>
      <c r="T40" s="184"/>
      <c r="U40" s="184"/>
    </row>
    <row r="41" spans="2:28">
      <c r="D41" s="378" t="s">
        <v>291</v>
      </c>
      <c r="E41" s="384"/>
      <c r="F41" s="385"/>
      <c r="G41" s="417">
        <v>63848362.995241195</v>
      </c>
      <c r="H41" s="400" t="s">
        <v>314</v>
      </c>
      <c r="I41" s="401"/>
      <c r="J41" s="401"/>
      <c r="K41" s="402"/>
      <c r="L41" s="444" t="s">
        <v>332</v>
      </c>
      <c r="M41" s="184"/>
      <c r="N41" s="184"/>
      <c r="O41" s="184"/>
      <c r="P41" s="184"/>
      <c r="Q41" s="184"/>
      <c r="R41" s="184"/>
      <c r="S41" s="184"/>
      <c r="T41" s="184"/>
      <c r="U41" s="184"/>
    </row>
    <row r="42" spans="2:28" ht="13.5" thickBot="1">
      <c r="D42" s="378" t="s">
        <v>292</v>
      </c>
      <c r="E42" s="120"/>
      <c r="F42" s="88"/>
      <c r="G42" s="410">
        <v>1871514.9708444616</v>
      </c>
      <c r="H42" s="403" t="s">
        <v>315</v>
      </c>
      <c r="I42" s="404"/>
      <c r="J42" s="404"/>
      <c r="K42" s="405"/>
      <c r="L42" s="444" t="s">
        <v>332</v>
      </c>
      <c r="M42" s="184"/>
      <c r="N42" s="184"/>
      <c r="O42" s="184"/>
      <c r="P42" s="184"/>
      <c r="Q42" s="184"/>
      <c r="R42" s="184"/>
      <c r="S42" s="184"/>
      <c r="T42" s="184"/>
      <c r="U42" s="184"/>
    </row>
    <row r="43" spans="2:28" ht="13.5" thickBot="1">
      <c r="D43" s="382" t="s">
        <v>293</v>
      </c>
      <c r="E43" s="120"/>
      <c r="F43" s="88"/>
      <c r="G43" s="383">
        <f>SUM(G41:G42)</f>
        <v>65719877.966085657</v>
      </c>
      <c r="H43" s="438"/>
      <c r="I43" s="404"/>
      <c r="J43" s="404"/>
      <c r="K43" s="405"/>
      <c r="L43" s="184"/>
      <c r="M43" s="184"/>
      <c r="N43" s="184"/>
      <c r="O43" s="184"/>
      <c r="P43" s="184"/>
      <c r="Q43" s="184"/>
      <c r="R43" s="184"/>
      <c r="S43" s="184"/>
      <c r="T43" s="184"/>
      <c r="U43" s="184"/>
    </row>
    <row r="44" spans="2:28">
      <c r="D44" s="378" t="s">
        <v>294</v>
      </c>
      <c r="E44" s="120"/>
      <c r="F44" s="88"/>
      <c r="G44" s="410">
        <v>17814450.343940392</v>
      </c>
      <c r="H44" s="403" t="s">
        <v>316</v>
      </c>
      <c r="I44" s="406"/>
      <c r="J44" s="406"/>
      <c r="K44" s="405"/>
      <c r="L44" s="444" t="s">
        <v>332</v>
      </c>
      <c r="M44" s="184"/>
      <c r="N44" s="184"/>
      <c r="O44" s="184"/>
      <c r="P44" s="184"/>
      <c r="Q44" s="184"/>
      <c r="R44" s="184"/>
      <c r="S44" s="184"/>
      <c r="T44" s="184"/>
      <c r="U44" s="184"/>
    </row>
    <row r="45" spans="2:28" ht="13.5" thickBot="1">
      <c r="D45" s="378" t="s">
        <v>295</v>
      </c>
      <c r="E45" s="120"/>
      <c r="F45" s="88"/>
      <c r="G45" s="410">
        <v>2928483.48275</v>
      </c>
      <c r="H45" s="418" t="s">
        <v>317</v>
      </c>
      <c r="I45" s="421"/>
      <c r="J45" s="421"/>
      <c r="K45" s="428"/>
      <c r="L45" s="444" t="s">
        <v>332</v>
      </c>
      <c r="M45" s="184"/>
      <c r="N45" s="184"/>
      <c r="O45" s="184"/>
      <c r="P45" s="184"/>
      <c r="Q45" s="184"/>
      <c r="R45" s="184"/>
      <c r="S45" s="184"/>
      <c r="T45" s="184"/>
      <c r="U45" s="184"/>
    </row>
    <row r="46" spans="2:28" ht="13.5" thickBot="1">
      <c r="D46" s="382" t="s">
        <v>296</v>
      </c>
      <c r="E46" s="386"/>
      <c r="F46" s="387"/>
      <c r="G46" s="383">
        <f>SUM(G44:G45)</f>
        <v>20742933.826690391</v>
      </c>
      <c r="L46" s="184"/>
      <c r="M46" s="184"/>
      <c r="N46" s="184"/>
      <c r="O46" s="184"/>
      <c r="P46" s="184"/>
      <c r="Q46" s="184"/>
      <c r="R46" s="184"/>
      <c r="S46" s="184"/>
      <c r="T46" s="184"/>
      <c r="U46" s="184"/>
    </row>
    <row r="47" spans="2:28" ht="13.5" thickBot="1">
      <c r="D47" s="399" t="s">
        <v>52</v>
      </c>
      <c r="G47" s="383">
        <f>G43+G46</f>
        <v>86462811.792776048</v>
      </c>
      <c r="H47" s="450" t="s">
        <v>209</v>
      </c>
    </row>
    <row r="48" spans="2:28" ht="18.75" thickBot="1">
      <c r="D48" s="374" t="s">
        <v>35</v>
      </c>
    </row>
    <row r="49" spans="4:23" ht="13.5" thickBot="1">
      <c r="E49" s="380" t="s">
        <v>304</v>
      </c>
      <c r="F49" s="381" t="s">
        <v>305</v>
      </c>
      <c r="G49" s="381" t="s">
        <v>35</v>
      </c>
      <c r="H49" s="456" t="s">
        <v>301</v>
      </c>
      <c r="I49" s="452"/>
      <c r="J49" s="452"/>
      <c r="K49" s="453"/>
    </row>
    <row r="50" spans="4:23">
      <c r="D50" s="378" t="s">
        <v>307</v>
      </c>
      <c r="E50" s="441">
        <v>-10561606.327199997</v>
      </c>
      <c r="F50" s="442">
        <v>-8553479.4941000007</v>
      </c>
      <c r="G50" s="412">
        <f>(E50*2/3)+(F50*1/3)</f>
        <v>-9892230.7161666658</v>
      </c>
      <c r="H50" s="403" t="s">
        <v>318</v>
      </c>
      <c r="I50" s="406"/>
      <c r="J50" s="406"/>
      <c r="K50" s="405"/>
      <c r="L50" s="444" t="s">
        <v>333</v>
      </c>
      <c r="M50" s="184"/>
      <c r="N50" s="184"/>
      <c r="O50" s="184"/>
      <c r="P50" s="184"/>
      <c r="Q50" s="184"/>
      <c r="R50" s="184"/>
      <c r="S50" s="184"/>
      <c r="T50" s="184"/>
      <c r="U50" s="184"/>
      <c r="V50" s="184"/>
      <c r="W50" s="184"/>
    </row>
    <row r="51" spans="4:23">
      <c r="D51" s="378" t="s">
        <v>306</v>
      </c>
      <c r="E51" s="440">
        <v>25172601.754599836</v>
      </c>
      <c r="F51" s="440">
        <v>53980888.914800167</v>
      </c>
      <c r="G51" s="414">
        <f>(E51*2/3)+(F51*1/3)</f>
        <v>34775364.141333282</v>
      </c>
      <c r="H51" s="403" t="s">
        <v>318</v>
      </c>
      <c r="I51" s="406"/>
      <c r="J51" s="406"/>
      <c r="K51" s="405"/>
      <c r="L51" s="444" t="s">
        <v>333</v>
      </c>
      <c r="M51" s="184"/>
      <c r="N51" s="184"/>
      <c r="O51" s="184"/>
      <c r="P51" s="184"/>
      <c r="Q51" s="184"/>
      <c r="R51" s="184"/>
      <c r="S51" s="184"/>
      <c r="T51" s="184"/>
      <c r="U51" s="184"/>
      <c r="V51" s="184"/>
      <c r="W51" s="184"/>
    </row>
    <row r="52" spans="4:23">
      <c r="D52" s="378" t="s">
        <v>308</v>
      </c>
      <c r="E52" s="439">
        <v>4505789.5030743303</v>
      </c>
      <c r="F52" s="440">
        <v>0</v>
      </c>
      <c r="G52" s="414">
        <f>(E52*2/3)+(F52*1/3)</f>
        <v>3003859.6687162202</v>
      </c>
      <c r="H52" s="403" t="s">
        <v>319</v>
      </c>
      <c r="I52" s="406"/>
      <c r="J52" s="406"/>
      <c r="K52" s="405"/>
      <c r="L52" s="444" t="s">
        <v>334</v>
      </c>
      <c r="M52" s="184"/>
      <c r="N52" s="184"/>
      <c r="O52" s="184"/>
      <c r="P52" s="184"/>
      <c r="Q52" s="184"/>
      <c r="R52" s="184"/>
      <c r="S52" s="184"/>
      <c r="T52" s="184"/>
      <c r="U52" s="184"/>
      <c r="V52" s="184"/>
      <c r="W52" s="184"/>
    </row>
    <row r="53" spans="4:23" ht="13.5" thickBot="1">
      <c r="D53" s="391" t="s">
        <v>309</v>
      </c>
      <c r="E53" s="439">
        <v>1122902.2395986822</v>
      </c>
      <c r="F53" s="440">
        <v>1424105.4072261103</v>
      </c>
      <c r="G53" s="414">
        <f>(E53*2/3)+(F53*1/3)</f>
        <v>1223303.2954744915</v>
      </c>
      <c r="H53" s="403" t="s">
        <v>319</v>
      </c>
      <c r="I53" s="404"/>
      <c r="J53" s="404"/>
      <c r="K53" s="405"/>
      <c r="L53" s="444" t="s">
        <v>334</v>
      </c>
      <c r="M53" s="184"/>
      <c r="N53" s="184"/>
      <c r="O53" s="184"/>
      <c r="P53" s="184"/>
      <c r="Q53" s="184"/>
      <c r="R53" s="184"/>
      <c r="S53" s="184"/>
      <c r="T53" s="184"/>
      <c r="U53" s="184"/>
      <c r="V53" s="184"/>
      <c r="W53" s="184"/>
    </row>
    <row r="54" spans="4:23" ht="13.5" thickBot="1">
      <c r="D54" s="489" t="s">
        <v>209</v>
      </c>
      <c r="E54" s="389">
        <f>SUM(E50:E53)</f>
        <v>20239687.170072854</v>
      </c>
      <c r="F54" s="390">
        <f>SUM(F50:F53)</f>
        <v>46851514.827926271</v>
      </c>
      <c r="G54" s="397">
        <f>(E54*2/3)+(F54*1/3)</f>
        <v>29110296.389357328</v>
      </c>
      <c r="H54" s="386"/>
      <c r="I54" s="387"/>
      <c r="J54" s="387"/>
      <c r="K54" s="398"/>
      <c r="L54" s="184"/>
      <c r="M54" s="184"/>
      <c r="N54" s="184"/>
      <c r="O54" s="184"/>
      <c r="P54" s="184"/>
      <c r="Q54" s="184"/>
      <c r="R54" s="184"/>
      <c r="S54" s="184"/>
      <c r="T54" s="184"/>
      <c r="U54" s="184"/>
      <c r="V54" s="184"/>
      <c r="W54" s="184"/>
    </row>
  </sheetData>
  <mergeCells count="5">
    <mergeCell ref="H20:K20"/>
    <mergeCell ref="H40:K40"/>
    <mergeCell ref="H32:K32"/>
    <mergeCell ref="H49:K49"/>
    <mergeCell ref="L20:S20"/>
  </mergeCells>
  <phoneticPr fontId="7" type="noConversion"/>
  <printOptions horizontalCentered="1"/>
  <pageMargins left="1" right="1" top="0.75" bottom="0.75" header="0.5" footer="0.5"/>
  <pageSetup scale="51" fitToHeight="2" orientation="landscape" horizontalDpi="4294967292" verticalDpi="4294967292" r:id="rId1"/>
  <headerFooter alignWithMargins="0">
    <oddFooter>&amp;L2000 AEAP:  May 1, 2000&amp;CSouthern California Edison&amp;R&amp;D &amp;T</oddFooter>
  </headerFooter>
</worksheet>
</file>

<file path=xl/worksheets/sheet3.xml><?xml version="1.0" encoding="utf-8"?>
<worksheet xmlns="http://schemas.openxmlformats.org/spreadsheetml/2006/main" xmlns:r="http://schemas.openxmlformats.org/officeDocument/2006/relationships">
  <sheetPr codeName="Sheet3"/>
  <dimension ref="A1:F4"/>
  <sheetViews>
    <sheetView workbookViewId="0">
      <selection activeCell="O13" sqref="O13"/>
    </sheetView>
  </sheetViews>
  <sheetFormatPr defaultRowHeight="12.75"/>
  <cols>
    <col min="1" max="1" width="46.42578125" style="92" customWidth="1"/>
    <col min="2" max="2" width="16" style="92" customWidth="1"/>
    <col min="3" max="3" width="16.85546875" style="92" customWidth="1"/>
    <col min="4" max="4" width="17.85546875" style="92" customWidth="1"/>
    <col min="5" max="5" width="12.85546875" style="92" customWidth="1"/>
    <col min="6" max="6" width="13.5703125" style="92" customWidth="1"/>
    <col min="7" max="16384" width="9.140625" style="92"/>
  </cols>
  <sheetData>
    <row r="1" spans="1:6" s="90" customFormat="1" ht="15.75">
      <c r="A1" s="37" t="s">
        <v>143</v>
      </c>
    </row>
    <row r="2" spans="1:6" s="90" customFormat="1"/>
    <row r="3" spans="1:6" s="90" customFormat="1" ht="13.5" thickBot="1"/>
    <row r="4" spans="1:6" s="90" customFormat="1" ht="46.5" customHeight="1" thickBot="1">
      <c r="A4" s="91" t="s">
        <v>144</v>
      </c>
      <c r="B4" s="91" t="s">
        <v>145</v>
      </c>
      <c r="C4" s="91" t="s">
        <v>146</v>
      </c>
      <c r="D4" s="91" t="s">
        <v>147</v>
      </c>
      <c r="E4" s="91" t="s">
        <v>36</v>
      </c>
      <c r="F4" s="91" t="s">
        <v>37</v>
      </c>
    </row>
  </sheetData>
  <sheetProtection password="F6A8" sheet="1" objects="1" scenarios="1"/>
  <phoneticPr fontId="6"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sheetPr codeName="Sheet4"/>
  <dimension ref="A1:F4"/>
  <sheetViews>
    <sheetView workbookViewId="0">
      <selection activeCell="O13" sqref="O13"/>
    </sheetView>
  </sheetViews>
  <sheetFormatPr defaultRowHeight="12.75"/>
  <cols>
    <col min="1" max="1" width="46.42578125" style="92" customWidth="1"/>
    <col min="2" max="2" width="16" style="92" customWidth="1"/>
    <col min="3" max="3" width="16.85546875" style="92" customWidth="1"/>
    <col min="4" max="4" width="17.85546875" style="4" customWidth="1"/>
    <col min="5" max="5" width="12.85546875" style="92" customWidth="1"/>
    <col min="6" max="6" width="13.5703125" style="92" customWidth="1"/>
    <col min="7" max="16384" width="9.140625" style="92"/>
  </cols>
  <sheetData>
    <row r="1" spans="1:6" s="90" customFormat="1" ht="15.75">
      <c r="A1" s="37" t="s">
        <v>148</v>
      </c>
      <c r="D1" s="93"/>
    </row>
    <row r="2" spans="1:6" s="90" customFormat="1">
      <c r="D2" s="93"/>
    </row>
    <row r="3" spans="1:6" s="90" customFormat="1" ht="13.5" thickBot="1">
      <c r="D3" s="93"/>
    </row>
    <row r="4" spans="1:6" s="90" customFormat="1" ht="46.5" customHeight="1" thickBot="1">
      <c r="A4" s="91" t="s">
        <v>144</v>
      </c>
      <c r="B4" s="91" t="s">
        <v>145</v>
      </c>
      <c r="C4" s="91" t="s">
        <v>146</v>
      </c>
      <c r="D4" s="91" t="s">
        <v>147</v>
      </c>
      <c r="E4" s="91" t="s">
        <v>36</v>
      </c>
      <c r="F4" s="91" t="s">
        <v>37</v>
      </c>
    </row>
  </sheetData>
  <sheetProtection password="F6A8" sheet="1" objects="1" scenarios="1"/>
  <phoneticPr fontId="6"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sheetPr codeName="Sheet5"/>
  <dimension ref="A1:F4"/>
  <sheetViews>
    <sheetView workbookViewId="0">
      <selection activeCell="O13" sqref="O13"/>
    </sheetView>
  </sheetViews>
  <sheetFormatPr defaultRowHeight="12.75"/>
  <cols>
    <col min="1" max="1" width="46.42578125" style="92" customWidth="1"/>
    <col min="2" max="2" width="16" style="92" customWidth="1"/>
    <col min="3" max="3" width="16.85546875" style="92" customWidth="1"/>
    <col min="4" max="4" width="17.85546875" style="92" customWidth="1"/>
    <col min="5" max="5" width="12.85546875" style="92" customWidth="1"/>
    <col min="6" max="6" width="13.5703125" style="92" customWidth="1"/>
    <col min="7" max="16384" width="9.140625" style="92"/>
  </cols>
  <sheetData>
    <row r="1" spans="1:6" s="90" customFormat="1" ht="15.75">
      <c r="A1" s="37" t="s">
        <v>149</v>
      </c>
    </row>
    <row r="2" spans="1:6" s="90" customFormat="1"/>
    <row r="3" spans="1:6" s="90" customFormat="1" ht="13.5" thickBot="1"/>
    <row r="4" spans="1:6" s="90" customFormat="1" ht="46.5" customHeight="1" thickBot="1">
      <c r="A4" s="91" t="s">
        <v>144</v>
      </c>
      <c r="B4" s="91" t="s">
        <v>145</v>
      </c>
      <c r="C4" s="91" t="s">
        <v>146</v>
      </c>
      <c r="D4" s="91" t="s">
        <v>147</v>
      </c>
      <c r="E4" s="91" t="s">
        <v>36</v>
      </c>
      <c r="F4" s="91" t="s">
        <v>37</v>
      </c>
    </row>
  </sheetData>
  <sheetProtection password="F6A8" sheet="1" objects="1" scenarios="1"/>
  <phoneticPr fontId="6" type="noConversion"/>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sheetPr codeName="Sheet6"/>
  <dimension ref="A1:F4"/>
  <sheetViews>
    <sheetView workbookViewId="0">
      <selection activeCell="D4" sqref="D4"/>
    </sheetView>
  </sheetViews>
  <sheetFormatPr defaultRowHeight="12.75"/>
  <cols>
    <col min="1" max="1" width="46.42578125" style="92" customWidth="1"/>
    <col min="2" max="2" width="16" style="4" customWidth="1"/>
    <col min="3" max="3" width="16.85546875" style="4" customWidth="1"/>
    <col min="4" max="4" width="17.85546875" style="92" customWidth="1"/>
    <col min="5" max="5" width="12.85546875" style="92" customWidth="1"/>
    <col min="6" max="6" width="13.5703125" style="92" customWidth="1"/>
    <col min="7" max="16384" width="9.140625" style="92"/>
  </cols>
  <sheetData>
    <row r="1" spans="1:6" s="90" customFormat="1" ht="15.75">
      <c r="A1" s="37" t="s">
        <v>150</v>
      </c>
      <c r="B1" s="93"/>
      <c r="C1" s="93"/>
    </row>
    <row r="2" spans="1:6" s="90" customFormat="1">
      <c r="B2" s="93"/>
      <c r="C2" s="93"/>
    </row>
    <row r="3" spans="1:6" s="90" customFormat="1" ht="13.5" thickBot="1">
      <c r="B3" s="93"/>
      <c r="C3" s="93"/>
    </row>
    <row r="4" spans="1:6" s="90" customFormat="1" ht="46.5" customHeight="1" thickBot="1">
      <c r="A4" s="91" t="s">
        <v>144</v>
      </c>
      <c r="B4" s="91" t="s">
        <v>145</v>
      </c>
      <c r="C4" s="91" t="s">
        <v>146</v>
      </c>
      <c r="D4" s="91" t="s">
        <v>147</v>
      </c>
      <c r="E4" s="91" t="s">
        <v>36</v>
      </c>
      <c r="F4" s="91" t="s">
        <v>37</v>
      </c>
    </row>
  </sheetData>
  <sheetProtection password="F6A8" sheet="1" objects="1" scenarios="1"/>
  <phoneticPr fontId="6" type="noConversion"/>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sheetPr codeName="Sheet7"/>
  <dimension ref="A1:G129"/>
  <sheetViews>
    <sheetView topLeftCell="A20" workbookViewId="0">
      <selection activeCell="B5" sqref="B5"/>
    </sheetView>
  </sheetViews>
  <sheetFormatPr defaultRowHeight="12.75"/>
  <cols>
    <col min="1" max="1" width="46.28515625" customWidth="1"/>
    <col min="3" max="3" width="12.42578125" customWidth="1"/>
  </cols>
  <sheetData>
    <row r="1" spans="1:3">
      <c r="A1" s="11" t="s">
        <v>69</v>
      </c>
    </row>
    <row r="2" spans="1:3">
      <c r="B2" s="200" t="s">
        <v>103</v>
      </c>
    </row>
    <row r="3" spans="1:3" ht="13.5" thickBot="1">
      <c r="B3" s="201" t="s">
        <v>70</v>
      </c>
    </row>
    <row r="4" spans="1:3">
      <c r="A4" s="202" t="s">
        <v>3</v>
      </c>
      <c r="B4" s="203"/>
    </row>
    <row r="5" spans="1:3">
      <c r="A5" s="204" t="s">
        <v>71</v>
      </c>
      <c r="B5" s="205">
        <v>998.17060950105031</v>
      </c>
    </row>
    <row r="6" spans="1:3">
      <c r="A6" s="204" t="s">
        <v>61</v>
      </c>
      <c r="B6" s="206">
        <v>212.32669807292436</v>
      </c>
    </row>
    <row r="7" spans="1:3">
      <c r="A7" s="204" t="s">
        <v>72</v>
      </c>
      <c r="B7" s="206">
        <v>19.053140110179147</v>
      </c>
    </row>
    <row r="8" spans="1:3">
      <c r="A8" s="204" t="s">
        <v>73</v>
      </c>
      <c r="B8" s="205">
        <v>1487</v>
      </c>
    </row>
    <row r="9" spans="1:3">
      <c r="A9" s="204" t="s">
        <v>74</v>
      </c>
      <c r="B9" s="207">
        <v>323</v>
      </c>
    </row>
    <row r="10" spans="1:3">
      <c r="A10" s="204" t="s">
        <v>75</v>
      </c>
      <c r="B10" s="207">
        <v>19.600000000000001</v>
      </c>
    </row>
    <row r="11" spans="1:3">
      <c r="A11" s="208" t="s">
        <v>76</v>
      </c>
      <c r="B11" s="209">
        <v>0.67126470040420327</v>
      </c>
    </row>
    <row r="12" spans="1:3">
      <c r="A12" s="208" t="s">
        <v>77</v>
      </c>
      <c r="B12" s="209">
        <v>0.65735819836818687</v>
      </c>
    </row>
    <row r="13" spans="1:3">
      <c r="A13" s="208" t="s">
        <v>78</v>
      </c>
      <c r="B13" s="209">
        <v>0.97209898521322169</v>
      </c>
    </row>
    <row r="15" spans="1:3">
      <c r="A15" s="11" t="s">
        <v>7</v>
      </c>
    </row>
    <row r="16" spans="1:3">
      <c r="A16" t="s">
        <v>60</v>
      </c>
      <c r="B16" s="2">
        <v>1497.9157626778292</v>
      </c>
      <c r="C16" s="2"/>
    </row>
    <row r="17" spans="1:3">
      <c r="A17" t="s">
        <v>61</v>
      </c>
      <c r="B17" s="210">
        <v>270.48766063547998</v>
      </c>
    </row>
    <row r="18" spans="1:3">
      <c r="A18" t="s">
        <v>79</v>
      </c>
      <c r="B18" s="210">
        <v>4.9531853467666282</v>
      </c>
    </row>
    <row r="19" spans="1:3">
      <c r="A19" s="204" t="s">
        <v>80</v>
      </c>
      <c r="B19" s="211">
        <v>1653</v>
      </c>
    </row>
    <row r="20" spans="1:3">
      <c r="A20" s="204" t="s">
        <v>74</v>
      </c>
      <c r="B20" s="32">
        <v>334</v>
      </c>
    </row>
    <row r="21" spans="1:3">
      <c r="A21" s="208" t="s">
        <v>76</v>
      </c>
      <c r="B21" s="209">
        <v>0.90618013471133041</v>
      </c>
      <c r="C21" s="212"/>
    </row>
    <row r="22" spans="1:3">
      <c r="A22" s="208" t="s">
        <v>77</v>
      </c>
      <c r="B22" s="209">
        <v>0.80984329531580834</v>
      </c>
    </row>
    <row r="23" spans="1:3" ht="13.5" thickBot="1">
      <c r="A23" s="201"/>
    </row>
    <row r="24" spans="1:3">
      <c r="A24" s="202" t="s">
        <v>8</v>
      </c>
      <c r="B24" s="213"/>
    </row>
    <row r="25" spans="1:3">
      <c r="A25" s="214" t="s">
        <v>60</v>
      </c>
      <c r="B25" s="206">
        <v>342.58511520167167</v>
      </c>
    </row>
    <row r="26" spans="1:3">
      <c r="A26" s="214" t="s">
        <v>61</v>
      </c>
      <c r="B26" s="215">
        <v>59.271827595281579</v>
      </c>
    </row>
    <row r="27" spans="1:3">
      <c r="A27" s="214" t="s">
        <v>79</v>
      </c>
      <c r="B27" s="215">
        <v>4.5458237515723861</v>
      </c>
    </row>
    <row r="28" spans="1:3">
      <c r="A28" s="204" t="s">
        <v>80</v>
      </c>
      <c r="B28" s="207">
        <v>536.79999999999995</v>
      </c>
    </row>
    <row r="29" spans="1:3">
      <c r="A29" s="204" t="s">
        <v>74</v>
      </c>
      <c r="B29" s="207">
        <v>100.7</v>
      </c>
    </row>
    <row r="30" spans="1:3">
      <c r="A30" s="204" t="s">
        <v>75</v>
      </c>
      <c r="B30" s="207">
        <v>3.6</v>
      </c>
    </row>
    <row r="31" spans="1:3">
      <c r="A31" s="208" t="s">
        <v>76</v>
      </c>
      <c r="B31" s="209">
        <v>0.63819879881086383</v>
      </c>
    </row>
    <row r="32" spans="1:3">
      <c r="A32" s="208" t="s">
        <v>77</v>
      </c>
      <c r="B32" s="209">
        <v>0.58859808932752311</v>
      </c>
    </row>
    <row r="33" spans="1:4">
      <c r="A33" s="208" t="s">
        <v>78</v>
      </c>
      <c r="B33" s="209">
        <v>1.2627288198812183</v>
      </c>
    </row>
    <row r="34" spans="1:4" ht="13.5" thickBot="1">
      <c r="A34" s="201"/>
    </row>
    <row r="35" spans="1:4">
      <c r="A35" s="202" t="s">
        <v>52</v>
      </c>
      <c r="B35" s="203"/>
    </row>
    <row r="36" spans="1:4">
      <c r="A36" s="214" t="s">
        <v>60</v>
      </c>
      <c r="B36" s="206">
        <v>29.12196659967443</v>
      </c>
    </row>
    <row r="37" spans="1:4">
      <c r="A37" s="214" t="s">
        <v>61</v>
      </c>
      <c r="B37" s="206">
        <v>9.1774170967618929</v>
      </c>
    </row>
    <row r="38" spans="1:4">
      <c r="A38" s="214" t="s">
        <v>79</v>
      </c>
      <c r="B38" s="215">
        <v>11.108797321145177</v>
      </c>
    </row>
    <row r="39" spans="1:4">
      <c r="A39" s="204" t="s">
        <v>75</v>
      </c>
      <c r="B39" s="207">
        <v>19.3</v>
      </c>
    </row>
    <row r="40" spans="1:4">
      <c r="A40" s="208" t="s">
        <v>78</v>
      </c>
      <c r="B40" s="209">
        <v>0.57558535342721118</v>
      </c>
    </row>
    <row r="41" spans="1:4">
      <c r="A41" s="201"/>
      <c r="B41" s="210"/>
    </row>
    <row r="42" spans="1:4">
      <c r="A42" s="11" t="s">
        <v>0</v>
      </c>
    </row>
    <row r="43" spans="1:4">
      <c r="A43" s="201"/>
    </row>
    <row r="44" spans="1:4">
      <c r="A44" s="201"/>
    </row>
    <row r="45" spans="1:4">
      <c r="A45" s="11" t="s">
        <v>83</v>
      </c>
    </row>
    <row r="46" spans="1:4">
      <c r="A46" s="216" t="s">
        <v>84</v>
      </c>
      <c r="B46" s="217" t="s">
        <v>7</v>
      </c>
      <c r="C46" s="217" t="s">
        <v>82</v>
      </c>
      <c r="D46" s="217" t="s">
        <v>85</v>
      </c>
    </row>
    <row r="47" spans="1:4">
      <c r="A47" s="216" t="s">
        <v>86</v>
      </c>
      <c r="B47" s="217" t="s">
        <v>8</v>
      </c>
      <c r="C47" s="217" t="s">
        <v>82</v>
      </c>
      <c r="D47" s="217" t="s">
        <v>85</v>
      </c>
    </row>
    <row r="48" spans="1:4">
      <c r="A48" s="217" t="s">
        <v>87</v>
      </c>
      <c r="B48" s="217" t="s">
        <v>7</v>
      </c>
      <c r="C48" s="217" t="s">
        <v>82</v>
      </c>
      <c r="D48" s="217" t="s">
        <v>88</v>
      </c>
    </row>
    <row r="49" spans="1:7">
      <c r="A49" s="216" t="s">
        <v>89</v>
      </c>
      <c r="B49" s="217" t="s">
        <v>7</v>
      </c>
      <c r="C49" s="217" t="s">
        <v>81</v>
      </c>
      <c r="D49" s="218" t="s">
        <v>90</v>
      </c>
    </row>
    <row r="50" spans="1:7">
      <c r="A50" s="216" t="s">
        <v>91</v>
      </c>
      <c r="B50" s="217" t="s">
        <v>52</v>
      </c>
      <c r="C50" s="217" t="s">
        <v>81</v>
      </c>
      <c r="D50" s="218" t="s">
        <v>92</v>
      </c>
    </row>
    <row r="51" spans="1:7">
      <c r="A51" s="216" t="s">
        <v>93</v>
      </c>
      <c r="B51" s="217" t="s">
        <v>8</v>
      </c>
      <c r="C51" s="217" t="s">
        <v>82</v>
      </c>
      <c r="D51" s="216" t="s">
        <v>94</v>
      </c>
    </row>
    <row r="52" spans="1:7">
      <c r="A52" s="216" t="s">
        <v>95</v>
      </c>
      <c r="B52" s="216" t="s">
        <v>8</v>
      </c>
      <c r="C52" s="217" t="s">
        <v>82</v>
      </c>
      <c r="D52" s="216" t="s">
        <v>96</v>
      </c>
    </row>
    <row r="53" spans="1:7">
      <c r="A53" s="216" t="s">
        <v>97</v>
      </c>
      <c r="B53" s="216" t="s">
        <v>7</v>
      </c>
      <c r="C53" s="217" t="s">
        <v>82</v>
      </c>
      <c r="D53" s="216" t="s">
        <v>98</v>
      </c>
    </row>
    <row r="54" spans="1:7">
      <c r="A54" s="216" t="s">
        <v>99</v>
      </c>
      <c r="B54" s="216" t="s">
        <v>3</v>
      </c>
      <c r="C54" s="217" t="s">
        <v>82</v>
      </c>
      <c r="D54" s="216" t="s">
        <v>100</v>
      </c>
    </row>
    <row r="55" spans="1:7">
      <c r="A55" s="216" t="s">
        <v>101</v>
      </c>
      <c r="B55" s="216" t="s">
        <v>7</v>
      </c>
      <c r="C55" s="217" t="s">
        <v>82</v>
      </c>
      <c r="D55" s="216" t="s">
        <v>102</v>
      </c>
    </row>
    <row r="56" spans="1:7">
      <c r="A56" s="219"/>
      <c r="B56" s="219"/>
    </row>
    <row r="57" spans="1:7">
      <c r="A57" s="219"/>
      <c r="B57" s="219"/>
    </row>
    <row r="58" spans="1:7">
      <c r="A58" s="11" t="s">
        <v>104</v>
      </c>
      <c r="G58" t="s">
        <v>105</v>
      </c>
    </row>
    <row r="59" spans="1:7">
      <c r="A59" s="220" t="s">
        <v>106</v>
      </c>
      <c r="B59" s="201" t="s">
        <v>7</v>
      </c>
      <c r="C59" t="s">
        <v>81</v>
      </c>
      <c r="D59" t="s">
        <v>107</v>
      </c>
      <c r="G59">
        <v>2006</v>
      </c>
    </row>
    <row r="60" spans="1:7">
      <c r="A60" s="201" t="s">
        <v>106</v>
      </c>
      <c r="B60" s="201" t="s">
        <v>7</v>
      </c>
      <c r="C60" t="s">
        <v>81</v>
      </c>
      <c r="D60" t="s">
        <v>107</v>
      </c>
      <c r="G60">
        <v>2006</v>
      </c>
    </row>
    <row r="61" spans="1:7">
      <c r="A61" s="201" t="s">
        <v>106</v>
      </c>
      <c r="B61" s="201" t="s">
        <v>7</v>
      </c>
      <c r="C61" t="s">
        <v>81</v>
      </c>
      <c r="D61" t="s">
        <v>107</v>
      </c>
      <c r="G61">
        <v>2006</v>
      </c>
    </row>
    <row r="62" spans="1:7">
      <c r="A62" s="201" t="s">
        <v>106</v>
      </c>
      <c r="B62" s="201" t="s">
        <v>7</v>
      </c>
      <c r="C62" t="s">
        <v>81</v>
      </c>
      <c r="D62" t="s">
        <v>107</v>
      </c>
      <c r="G62">
        <v>2006</v>
      </c>
    </row>
    <row r="63" spans="1:7">
      <c r="A63" s="201" t="s">
        <v>106</v>
      </c>
      <c r="B63" s="201" t="s">
        <v>7</v>
      </c>
      <c r="C63" t="s">
        <v>81</v>
      </c>
      <c r="D63" t="s">
        <v>107</v>
      </c>
      <c r="G63">
        <v>2006</v>
      </c>
    </row>
    <row r="64" spans="1:7">
      <c r="A64" s="201" t="s">
        <v>106</v>
      </c>
      <c r="B64" s="201" t="s">
        <v>7</v>
      </c>
      <c r="C64" t="s">
        <v>81</v>
      </c>
      <c r="D64" t="s">
        <v>107</v>
      </c>
      <c r="G64">
        <v>2006</v>
      </c>
    </row>
    <row r="65" spans="1:7">
      <c r="A65" s="201" t="s">
        <v>108</v>
      </c>
      <c r="B65" s="201" t="s">
        <v>3</v>
      </c>
      <c r="C65" t="s">
        <v>81</v>
      </c>
      <c r="D65" t="s">
        <v>109</v>
      </c>
      <c r="G65">
        <v>2006</v>
      </c>
    </row>
    <row r="66" spans="1:7">
      <c r="A66" s="201" t="s">
        <v>108</v>
      </c>
      <c r="B66" s="201" t="s">
        <v>3</v>
      </c>
      <c r="C66" t="s">
        <v>81</v>
      </c>
      <c r="D66" t="s">
        <v>109</v>
      </c>
      <c r="G66">
        <v>2006</v>
      </c>
    </row>
    <row r="67" spans="1:7">
      <c r="A67" s="201" t="s">
        <v>108</v>
      </c>
      <c r="B67" s="201" t="s">
        <v>3</v>
      </c>
      <c r="C67" t="s">
        <v>81</v>
      </c>
      <c r="D67" t="s">
        <v>109</v>
      </c>
      <c r="G67">
        <v>2006</v>
      </c>
    </row>
    <row r="68" spans="1:7">
      <c r="A68" s="201" t="s">
        <v>108</v>
      </c>
      <c r="B68" s="201" t="s">
        <v>3</v>
      </c>
      <c r="C68" t="s">
        <v>81</v>
      </c>
      <c r="D68" t="s">
        <v>109</v>
      </c>
      <c r="G68">
        <v>2006</v>
      </c>
    </row>
    <row r="69" spans="1:7">
      <c r="A69" s="201" t="s">
        <v>110</v>
      </c>
      <c r="B69" s="201" t="s">
        <v>7</v>
      </c>
      <c r="C69" t="s">
        <v>81</v>
      </c>
      <c r="D69" t="s">
        <v>109</v>
      </c>
      <c r="G69">
        <v>2006</v>
      </c>
    </row>
    <row r="70" spans="1:7">
      <c r="A70" s="201" t="s">
        <v>110</v>
      </c>
      <c r="B70" s="201" t="s">
        <v>7</v>
      </c>
      <c r="C70" t="s">
        <v>81</v>
      </c>
      <c r="D70" t="s">
        <v>109</v>
      </c>
      <c r="G70">
        <v>2006</v>
      </c>
    </row>
    <row r="71" spans="1:7">
      <c r="A71" s="201" t="s">
        <v>110</v>
      </c>
      <c r="B71" s="201" t="s">
        <v>7</v>
      </c>
      <c r="C71" t="s">
        <v>81</v>
      </c>
      <c r="D71" t="s">
        <v>109</v>
      </c>
      <c r="G71">
        <v>2006</v>
      </c>
    </row>
    <row r="72" spans="1:7">
      <c r="A72" s="201" t="s">
        <v>110</v>
      </c>
      <c r="B72" s="201" t="s">
        <v>7</v>
      </c>
      <c r="C72" t="s">
        <v>81</v>
      </c>
      <c r="D72" t="s">
        <v>109</v>
      </c>
      <c r="G72">
        <v>2006</v>
      </c>
    </row>
    <row r="73" spans="1:7">
      <c r="A73" s="201" t="s">
        <v>111</v>
      </c>
      <c r="B73" s="201" t="s">
        <v>52</v>
      </c>
      <c r="C73" t="s">
        <v>81</v>
      </c>
      <c r="D73" t="s">
        <v>112</v>
      </c>
      <c r="G73">
        <v>2006</v>
      </c>
    </row>
    <row r="74" spans="1:7">
      <c r="A74" s="201" t="s">
        <v>111</v>
      </c>
      <c r="B74" s="201" t="s">
        <v>52</v>
      </c>
      <c r="C74" t="s">
        <v>81</v>
      </c>
      <c r="D74" t="s">
        <v>112</v>
      </c>
      <c r="G74">
        <v>2006</v>
      </c>
    </row>
    <row r="75" spans="1:7">
      <c r="A75" s="201" t="s">
        <v>111</v>
      </c>
      <c r="B75" s="201" t="s">
        <v>52</v>
      </c>
      <c r="C75" t="s">
        <v>81</v>
      </c>
      <c r="D75" t="s">
        <v>112</v>
      </c>
      <c r="G75">
        <v>2006</v>
      </c>
    </row>
    <row r="76" spans="1:7">
      <c r="A76" s="201" t="s">
        <v>111</v>
      </c>
      <c r="B76" s="201" t="s">
        <v>52</v>
      </c>
      <c r="C76" t="s">
        <v>81</v>
      </c>
      <c r="D76" t="s">
        <v>112</v>
      </c>
      <c r="G76">
        <v>2006</v>
      </c>
    </row>
    <row r="77" spans="1:7">
      <c r="A77" s="201" t="s">
        <v>111</v>
      </c>
      <c r="B77" s="201" t="s">
        <v>52</v>
      </c>
      <c r="C77" t="s">
        <v>81</v>
      </c>
      <c r="D77" t="s">
        <v>112</v>
      </c>
      <c r="G77">
        <v>2006</v>
      </c>
    </row>
    <row r="78" spans="1:7">
      <c r="A78" s="201" t="s">
        <v>111</v>
      </c>
      <c r="B78" s="201" t="s">
        <v>52</v>
      </c>
      <c r="C78" t="s">
        <v>81</v>
      </c>
      <c r="D78" t="s">
        <v>112</v>
      </c>
      <c r="G78">
        <v>2006</v>
      </c>
    </row>
    <row r="79" spans="1:7">
      <c r="A79" s="201" t="s">
        <v>113</v>
      </c>
      <c r="B79" s="201" t="s">
        <v>8</v>
      </c>
      <c r="C79" t="s">
        <v>81</v>
      </c>
      <c r="D79" t="s">
        <v>114</v>
      </c>
      <c r="G79">
        <v>2007</v>
      </c>
    </row>
    <row r="80" spans="1:7">
      <c r="A80" s="201" t="s">
        <v>113</v>
      </c>
      <c r="B80" s="201" t="s">
        <v>8</v>
      </c>
      <c r="C80" t="s">
        <v>81</v>
      </c>
      <c r="D80" t="s">
        <v>114</v>
      </c>
      <c r="G80">
        <v>2007</v>
      </c>
    </row>
    <row r="81" spans="1:7">
      <c r="A81" s="201" t="s">
        <v>115</v>
      </c>
      <c r="B81" s="201" t="s">
        <v>8</v>
      </c>
      <c r="C81" t="s">
        <v>81</v>
      </c>
      <c r="D81" t="s">
        <v>116</v>
      </c>
      <c r="G81">
        <v>2006</v>
      </c>
    </row>
    <row r="82" spans="1:7">
      <c r="A82" s="201" t="s">
        <v>115</v>
      </c>
      <c r="B82" s="201" t="s">
        <v>8</v>
      </c>
      <c r="C82" t="s">
        <v>81</v>
      </c>
      <c r="D82" t="s">
        <v>116</v>
      </c>
      <c r="G82">
        <v>2007</v>
      </c>
    </row>
    <row r="83" spans="1:7">
      <c r="A83" s="201" t="s">
        <v>115</v>
      </c>
      <c r="B83" s="201" t="s">
        <v>8</v>
      </c>
      <c r="C83" t="s">
        <v>81</v>
      </c>
      <c r="D83" t="s">
        <v>116</v>
      </c>
      <c r="G83">
        <v>2006</v>
      </c>
    </row>
    <row r="84" spans="1:7">
      <c r="A84" s="201" t="s">
        <v>115</v>
      </c>
      <c r="B84" s="201" t="s">
        <v>8</v>
      </c>
      <c r="C84" t="s">
        <v>81</v>
      </c>
      <c r="D84" t="s">
        <v>116</v>
      </c>
      <c r="G84">
        <v>2007</v>
      </c>
    </row>
    <row r="85" spans="1:7">
      <c r="A85" s="201" t="s">
        <v>115</v>
      </c>
      <c r="B85" s="201" t="s">
        <v>8</v>
      </c>
      <c r="C85" t="s">
        <v>81</v>
      </c>
      <c r="D85" t="s">
        <v>116</v>
      </c>
      <c r="G85">
        <v>2006</v>
      </c>
    </row>
    <row r="86" spans="1:7">
      <c r="A86" s="201" t="s">
        <v>115</v>
      </c>
      <c r="B86" s="201" t="s">
        <v>8</v>
      </c>
      <c r="C86" t="s">
        <v>81</v>
      </c>
      <c r="D86" t="s">
        <v>116</v>
      </c>
      <c r="G86">
        <v>2007</v>
      </c>
    </row>
    <row r="87" spans="1:7">
      <c r="A87" s="201" t="s">
        <v>117</v>
      </c>
      <c r="B87" s="201" t="s">
        <v>7</v>
      </c>
      <c r="C87" t="s">
        <v>81</v>
      </c>
      <c r="D87" t="s">
        <v>118</v>
      </c>
      <c r="G87">
        <v>2006</v>
      </c>
    </row>
    <row r="88" spans="1:7">
      <c r="A88" s="201" t="s">
        <v>117</v>
      </c>
      <c r="B88" s="201" t="s">
        <v>7</v>
      </c>
      <c r="C88" t="s">
        <v>81</v>
      </c>
      <c r="D88" t="s">
        <v>118</v>
      </c>
      <c r="G88">
        <v>2006</v>
      </c>
    </row>
    <row r="89" spans="1:7">
      <c r="A89" s="201" t="s">
        <v>117</v>
      </c>
      <c r="B89" s="201" t="s">
        <v>7</v>
      </c>
      <c r="C89" t="s">
        <v>81</v>
      </c>
      <c r="D89" t="s">
        <v>118</v>
      </c>
      <c r="G89">
        <v>2006</v>
      </c>
    </row>
    <row r="90" spans="1:7">
      <c r="A90" s="201" t="s">
        <v>117</v>
      </c>
      <c r="B90" s="201" t="s">
        <v>7</v>
      </c>
      <c r="C90" t="s">
        <v>81</v>
      </c>
      <c r="D90" t="s">
        <v>118</v>
      </c>
      <c r="G90">
        <v>2006</v>
      </c>
    </row>
    <row r="91" spans="1:7">
      <c r="A91" s="201" t="s">
        <v>117</v>
      </c>
      <c r="B91" s="201" t="s">
        <v>7</v>
      </c>
      <c r="C91" t="s">
        <v>81</v>
      </c>
      <c r="D91" t="s">
        <v>118</v>
      </c>
      <c r="G91">
        <v>2006</v>
      </c>
    </row>
    <row r="92" spans="1:7">
      <c r="A92" s="201" t="s">
        <v>117</v>
      </c>
      <c r="B92" s="201" t="s">
        <v>7</v>
      </c>
      <c r="C92" t="s">
        <v>81</v>
      </c>
      <c r="D92" t="s">
        <v>118</v>
      </c>
      <c r="G92">
        <v>2006</v>
      </c>
    </row>
    <row r="93" spans="1:7">
      <c r="A93" s="201" t="s">
        <v>119</v>
      </c>
      <c r="B93" s="201" t="s">
        <v>52</v>
      </c>
      <c r="C93" t="s">
        <v>81</v>
      </c>
      <c r="D93" t="s">
        <v>118</v>
      </c>
      <c r="G93">
        <v>2006</v>
      </c>
    </row>
    <row r="94" spans="1:7">
      <c r="A94" s="201" t="s">
        <v>119</v>
      </c>
      <c r="B94" s="201" t="s">
        <v>52</v>
      </c>
      <c r="C94" t="s">
        <v>81</v>
      </c>
      <c r="D94" t="s">
        <v>118</v>
      </c>
      <c r="G94">
        <v>2006</v>
      </c>
    </row>
    <row r="95" spans="1:7">
      <c r="A95" s="201" t="s">
        <v>119</v>
      </c>
      <c r="B95" s="201" t="s">
        <v>52</v>
      </c>
      <c r="C95" t="s">
        <v>81</v>
      </c>
      <c r="D95" t="s">
        <v>118</v>
      </c>
      <c r="G95">
        <v>2006</v>
      </c>
    </row>
    <row r="96" spans="1:7">
      <c r="A96" s="201" t="s">
        <v>119</v>
      </c>
      <c r="B96" s="201" t="s">
        <v>52</v>
      </c>
      <c r="C96" t="s">
        <v>81</v>
      </c>
      <c r="D96" t="s">
        <v>118</v>
      </c>
      <c r="G96">
        <v>2006</v>
      </c>
    </row>
    <row r="97" spans="1:7">
      <c r="A97" s="201" t="s">
        <v>119</v>
      </c>
      <c r="B97" s="201" t="s">
        <v>52</v>
      </c>
      <c r="C97" t="s">
        <v>81</v>
      </c>
      <c r="D97" t="s">
        <v>118</v>
      </c>
      <c r="G97">
        <v>2006</v>
      </c>
    </row>
    <row r="98" spans="1:7">
      <c r="A98" s="201" t="s">
        <v>119</v>
      </c>
      <c r="B98" s="201" t="s">
        <v>52</v>
      </c>
      <c r="C98" t="s">
        <v>81</v>
      </c>
      <c r="D98" t="s">
        <v>118</v>
      </c>
      <c r="G98">
        <v>2006</v>
      </c>
    </row>
    <row r="99" spans="1:7">
      <c r="A99" s="201" t="s">
        <v>120</v>
      </c>
      <c r="B99" s="201" t="s">
        <v>8</v>
      </c>
      <c r="C99" t="s">
        <v>81</v>
      </c>
      <c r="D99" t="s">
        <v>121</v>
      </c>
      <c r="G99">
        <v>2006</v>
      </c>
    </row>
    <row r="100" spans="1:7">
      <c r="A100" s="201" t="s">
        <v>120</v>
      </c>
      <c r="B100" s="201" t="s">
        <v>8</v>
      </c>
      <c r="C100" t="s">
        <v>81</v>
      </c>
      <c r="D100" t="s">
        <v>121</v>
      </c>
      <c r="G100">
        <v>2006</v>
      </c>
    </row>
    <row r="101" spans="1:7">
      <c r="A101" s="219" t="s">
        <v>122</v>
      </c>
      <c r="B101" s="219" t="s">
        <v>8</v>
      </c>
      <c r="C101" s="221" t="s">
        <v>81</v>
      </c>
      <c r="D101" s="219" t="s">
        <v>123</v>
      </c>
      <c r="G101">
        <v>2006</v>
      </c>
    </row>
    <row r="102" spans="1:7">
      <c r="A102" s="219" t="s">
        <v>122</v>
      </c>
      <c r="B102" s="219" t="s">
        <v>8</v>
      </c>
      <c r="C102" s="221" t="s">
        <v>81</v>
      </c>
      <c r="D102" s="219" t="s">
        <v>123</v>
      </c>
      <c r="G102">
        <v>2006</v>
      </c>
    </row>
    <row r="103" spans="1:7">
      <c r="A103" s="219" t="s">
        <v>122</v>
      </c>
      <c r="B103" s="219" t="s">
        <v>8</v>
      </c>
      <c r="C103" s="221" t="s">
        <v>81</v>
      </c>
      <c r="D103" s="219" t="s">
        <v>123</v>
      </c>
      <c r="G103">
        <v>2006</v>
      </c>
    </row>
    <row r="104" spans="1:7">
      <c r="A104" s="219" t="s">
        <v>122</v>
      </c>
      <c r="B104" s="219" t="s">
        <v>8</v>
      </c>
      <c r="C104" s="221" t="s">
        <v>81</v>
      </c>
      <c r="D104" s="219" t="s">
        <v>123</v>
      </c>
      <c r="G104">
        <v>2006</v>
      </c>
    </row>
    <row r="105" spans="1:7">
      <c r="A105" s="219" t="s">
        <v>122</v>
      </c>
      <c r="B105" s="219" t="s">
        <v>8</v>
      </c>
      <c r="C105" s="221" t="s">
        <v>81</v>
      </c>
      <c r="D105" s="219" t="s">
        <v>123</v>
      </c>
      <c r="G105">
        <v>2006</v>
      </c>
    </row>
    <row r="106" spans="1:7">
      <c r="A106" s="219" t="s">
        <v>122</v>
      </c>
      <c r="B106" s="219" t="s">
        <v>8</v>
      </c>
      <c r="C106" s="221" t="s">
        <v>81</v>
      </c>
      <c r="D106" s="219" t="s">
        <v>123</v>
      </c>
      <c r="G106">
        <v>2006</v>
      </c>
    </row>
    <row r="107" spans="1:7">
      <c r="A107" s="219" t="s">
        <v>124</v>
      </c>
      <c r="B107" s="219" t="s">
        <v>8</v>
      </c>
      <c r="C107" s="219" t="s">
        <v>81</v>
      </c>
      <c r="D107" s="219" t="s">
        <v>125</v>
      </c>
      <c r="G107">
        <v>2006</v>
      </c>
    </row>
    <row r="108" spans="1:7">
      <c r="A108" s="221" t="s">
        <v>124</v>
      </c>
      <c r="B108" s="221" t="s">
        <v>8</v>
      </c>
      <c r="C108" s="221" t="s">
        <v>81</v>
      </c>
      <c r="D108" s="221" t="s">
        <v>125</v>
      </c>
      <c r="G108">
        <v>2006</v>
      </c>
    </row>
    <row r="109" spans="1:7">
      <c r="A109" s="221" t="s">
        <v>124</v>
      </c>
      <c r="B109" s="221" t="s">
        <v>8</v>
      </c>
      <c r="C109" s="221" t="s">
        <v>81</v>
      </c>
      <c r="D109" s="221" t="s">
        <v>125</v>
      </c>
      <c r="G109">
        <v>2006</v>
      </c>
    </row>
    <row r="110" spans="1:7">
      <c r="A110" s="221" t="s">
        <v>124</v>
      </c>
      <c r="B110" s="221" t="s">
        <v>8</v>
      </c>
      <c r="C110" s="221" t="s">
        <v>81</v>
      </c>
      <c r="D110" s="221" t="s">
        <v>125</v>
      </c>
      <c r="G110">
        <v>2006</v>
      </c>
    </row>
    <row r="111" spans="1:7">
      <c r="A111" s="219" t="s">
        <v>126</v>
      </c>
      <c r="B111" s="219" t="s">
        <v>8</v>
      </c>
      <c r="C111" s="219" t="s">
        <v>81</v>
      </c>
      <c r="D111" s="219" t="s">
        <v>127</v>
      </c>
      <c r="G111">
        <v>2008</v>
      </c>
    </row>
    <row r="112" spans="1:7">
      <c r="A112" s="219" t="s">
        <v>126</v>
      </c>
      <c r="B112" s="219" t="s">
        <v>8</v>
      </c>
      <c r="C112" s="219" t="s">
        <v>81</v>
      </c>
      <c r="D112" s="219" t="s">
        <v>127</v>
      </c>
      <c r="G112">
        <v>2008</v>
      </c>
    </row>
    <row r="113" spans="1:7">
      <c r="A113" s="219" t="s">
        <v>126</v>
      </c>
      <c r="B113" s="219" t="s">
        <v>8</v>
      </c>
      <c r="C113" s="219" t="s">
        <v>81</v>
      </c>
      <c r="D113" s="219" t="s">
        <v>127</v>
      </c>
      <c r="G113">
        <v>2008</v>
      </c>
    </row>
    <row r="114" spans="1:7">
      <c r="A114" s="219" t="s">
        <v>128</v>
      </c>
      <c r="B114" s="219" t="s">
        <v>3</v>
      </c>
      <c r="C114" s="219" t="s">
        <v>81</v>
      </c>
      <c r="D114" s="219" t="s">
        <v>129</v>
      </c>
      <c r="G114">
        <v>2008</v>
      </c>
    </row>
    <row r="115" spans="1:7">
      <c r="A115" s="219" t="s">
        <v>128</v>
      </c>
      <c r="B115" s="219" t="s">
        <v>3</v>
      </c>
      <c r="C115" s="219" t="s">
        <v>81</v>
      </c>
      <c r="D115" s="219" t="s">
        <v>129</v>
      </c>
      <c r="G115">
        <v>2008</v>
      </c>
    </row>
    <row r="116" spans="1:7">
      <c r="A116" s="219" t="s">
        <v>128</v>
      </c>
      <c r="B116" s="219" t="s">
        <v>3</v>
      </c>
      <c r="C116" s="219" t="s">
        <v>81</v>
      </c>
      <c r="D116" s="219" t="s">
        <v>129</v>
      </c>
      <c r="G116">
        <v>2008</v>
      </c>
    </row>
    <row r="117" spans="1:7">
      <c r="A117" s="219" t="s">
        <v>128</v>
      </c>
      <c r="B117" s="219" t="s">
        <v>3</v>
      </c>
      <c r="C117" s="219" t="s">
        <v>81</v>
      </c>
      <c r="D117" s="219" t="s">
        <v>129</v>
      </c>
      <c r="G117">
        <v>2008</v>
      </c>
    </row>
    <row r="118" spans="1:7">
      <c r="A118" s="219" t="s">
        <v>128</v>
      </c>
      <c r="B118" s="219" t="s">
        <v>3</v>
      </c>
      <c r="C118" s="219" t="s">
        <v>81</v>
      </c>
      <c r="D118" s="219" t="s">
        <v>129</v>
      </c>
      <c r="G118">
        <v>2008</v>
      </c>
    </row>
    <row r="119" spans="1:7">
      <c r="A119" s="219" t="s">
        <v>128</v>
      </c>
      <c r="B119" s="219" t="s">
        <v>3</v>
      </c>
      <c r="C119" s="219" t="s">
        <v>81</v>
      </c>
      <c r="D119" s="219" t="s">
        <v>129</v>
      </c>
      <c r="G119">
        <v>2008</v>
      </c>
    </row>
    <row r="120" spans="1:7">
      <c r="A120" s="219" t="s">
        <v>130</v>
      </c>
      <c r="B120" s="219" t="s">
        <v>8</v>
      </c>
      <c r="C120" s="219" t="s">
        <v>81</v>
      </c>
      <c r="D120" s="219" t="s">
        <v>131</v>
      </c>
      <c r="G120">
        <v>2008</v>
      </c>
    </row>
    <row r="121" spans="1:7">
      <c r="A121" s="219" t="s">
        <v>130</v>
      </c>
      <c r="B121" s="219" t="s">
        <v>8</v>
      </c>
      <c r="C121" s="219" t="s">
        <v>81</v>
      </c>
      <c r="D121" s="219" t="s">
        <v>131</v>
      </c>
      <c r="G121">
        <v>2008</v>
      </c>
    </row>
    <row r="122" spans="1:7">
      <c r="A122" s="219" t="s">
        <v>130</v>
      </c>
      <c r="B122" s="219" t="s">
        <v>8</v>
      </c>
      <c r="C122" s="219" t="s">
        <v>81</v>
      </c>
      <c r="D122" s="219" t="s">
        <v>131</v>
      </c>
      <c r="G122">
        <v>2008</v>
      </c>
    </row>
    <row r="123" spans="1:7">
      <c r="A123" s="219" t="s">
        <v>130</v>
      </c>
      <c r="B123" s="219" t="s">
        <v>8</v>
      </c>
      <c r="C123" s="219" t="s">
        <v>81</v>
      </c>
      <c r="D123" s="219" t="s">
        <v>131</v>
      </c>
      <c r="G123">
        <v>2008</v>
      </c>
    </row>
    <row r="124" spans="1:7">
      <c r="A124" s="219" t="s">
        <v>130</v>
      </c>
      <c r="B124" s="219" t="s">
        <v>8</v>
      </c>
      <c r="C124" s="219" t="s">
        <v>81</v>
      </c>
      <c r="D124" s="219" t="s">
        <v>131</v>
      </c>
      <c r="G124">
        <v>2008</v>
      </c>
    </row>
    <row r="125" spans="1:7">
      <c r="A125" s="219" t="s">
        <v>130</v>
      </c>
      <c r="B125" s="219" t="s">
        <v>8</v>
      </c>
      <c r="C125" s="219" t="s">
        <v>81</v>
      </c>
      <c r="D125" s="219" t="s">
        <v>131</v>
      </c>
      <c r="G125">
        <v>2008</v>
      </c>
    </row>
    <row r="126" spans="1:7">
      <c r="A126" s="222" t="s">
        <v>1</v>
      </c>
      <c r="B126" s="222" t="s">
        <v>7</v>
      </c>
      <c r="C126" s="222" t="s">
        <v>81</v>
      </c>
      <c r="D126" s="222" t="s">
        <v>2</v>
      </c>
      <c r="E126" s="223"/>
      <c r="F126" s="223"/>
      <c r="G126" s="223">
        <v>2008</v>
      </c>
    </row>
    <row r="127" spans="1:7">
      <c r="A127" s="222" t="s">
        <v>1</v>
      </c>
      <c r="B127" s="222" t="s">
        <v>7</v>
      </c>
      <c r="C127" s="222" t="s">
        <v>81</v>
      </c>
      <c r="D127" s="222" t="s">
        <v>2</v>
      </c>
      <c r="E127" s="223"/>
      <c r="F127" s="223"/>
      <c r="G127" s="223">
        <v>2008</v>
      </c>
    </row>
    <row r="128" spans="1:7">
      <c r="A128" s="222" t="s">
        <v>1</v>
      </c>
      <c r="B128" s="222" t="s">
        <v>7</v>
      </c>
      <c r="C128" s="222" t="s">
        <v>81</v>
      </c>
      <c r="D128" s="222" t="s">
        <v>2</v>
      </c>
      <c r="E128" s="223"/>
      <c r="F128" s="223"/>
      <c r="G128" s="223">
        <v>2008</v>
      </c>
    </row>
    <row r="129" spans="1:7">
      <c r="A129" s="222" t="s">
        <v>1</v>
      </c>
      <c r="B129" s="222" t="s">
        <v>7</v>
      </c>
      <c r="C129" s="222" t="s">
        <v>81</v>
      </c>
      <c r="D129" s="222" t="s">
        <v>2</v>
      </c>
      <c r="E129" s="223"/>
      <c r="F129" s="223"/>
      <c r="G129" s="223">
        <v>2008</v>
      </c>
    </row>
  </sheetData>
  <sheetProtection password="F6A8" sheet="1"/>
  <phoneticPr fontId="0" type="noConversion"/>
  <pageMargins left="0.7" right="0.7" top="0.75" bottom="0.75" header="0.3" footer="0.3"/>
  <pageSetup orientation="portrait" r:id="rId1"/>
  <headerFooter alignWithMargins="0"/>
  <drawing r:id="rId2"/>
</worksheet>
</file>

<file path=xl/worksheets/sheet8.xml><?xml version="1.0" encoding="utf-8"?>
<worksheet xmlns="http://schemas.openxmlformats.org/spreadsheetml/2006/main" xmlns:r="http://schemas.openxmlformats.org/officeDocument/2006/relationships">
  <sheetPr codeName="Sheet8"/>
  <dimension ref="A1:Q66"/>
  <sheetViews>
    <sheetView topLeftCell="B4" workbookViewId="0">
      <selection activeCell="J33" sqref="J33"/>
    </sheetView>
  </sheetViews>
  <sheetFormatPr defaultRowHeight="12.75"/>
  <cols>
    <col min="2" max="2" width="9.85546875" bestFit="1" customWidth="1"/>
    <col min="3" max="5" width="11.85546875" customWidth="1"/>
    <col min="6" max="6" width="15.7109375" customWidth="1"/>
    <col min="7" max="7" width="9.85546875" bestFit="1" customWidth="1"/>
    <col min="8" max="9" width="11.85546875" style="3" customWidth="1"/>
    <col min="10" max="10" width="11.85546875" style="2" customWidth="1"/>
    <col min="13" max="13" width="10.140625" style="2" bestFit="1" customWidth="1"/>
    <col min="14" max="14" width="9.28515625" style="2" bestFit="1" customWidth="1"/>
    <col min="15" max="15" width="15.42578125" bestFit="1" customWidth="1"/>
    <col min="16" max="16" width="10.140625" customWidth="1"/>
    <col min="17" max="17" width="14.42578125" bestFit="1" customWidth="1"/>
  </cols>
  <sheetData>
    <row r="1" spans="1:17">
      <c r="A1" s="11" t="s">
        <v>56</v>
      </c>
      <c r="B1" s="11"/>
      <c r="C1" s="11"/>
      <c r="O1" s="11"/>
      <c r="P1" s="11"/>
      <c r="Q1" s="11"/>
    </row>
    <row r="2" spans="1:17">
      <c r="A2" s="11" t="s">
        <v>254</v>
      </c>
      <c r="B2" s="11"/>
      <c r="O2" s="11"/>
      <c r="P2" s="11"/>
    </row>
    <row r="3" spans="1:17">
      <c r="A3" s="11" t="s">
        <v>160</v>
      </c>
      <c r="B3" s="11"/>
      <c r="J3" s="3"/>
      <c r="O3" s="11"/>
      <c r="P3" s="11"/>
    </row>
    <row r="4" spans="1:17" ht="13.5" thickBot="1">
      <c r="C4" s="2"/>
      <c r="D4" s="2"/>
      <c r="E4" s="2"/>
      <c r="M4"/>
      <c r="N4" s="11" t="s">
        <v>67</v>
      </c>
    </row>
    <row r="5" spans="1:17" ht="13.5" thickBot="1">
      <c r="B5" s="12" t="s">
        <v>3</v>
      </c>
      <c r="C5" s="13" t="s">
        <v>57</v>
      </c>
      <c r="D5" s="14" t="s">
        <v>58</v>
      </c>
      <c r="E5" s="15" t="s">
        <v>59</v>
      </c>
      <c r="G5" s="12" t="s">
        <v>3</v>
      </c>
      <c r="H5" s="16" t="s">
        <v>60</v>
      </c>
      <c r="I5" s="17" t="s">
        <v>61</v>
      </c>
      <c r="J5" s="15" t="s">
        <v>62</v>
      </c>
      <c r="M5"/>
      <c r="N5" s="12"/>
      <c r="O5" s="16" t="s">
        <v>57</v>
      </c>
      <c r="P5" s="17" t="s">
        <v>58</v>
      </c>
      <c r="Q5" s="15" t="s">
        <v>59</v>
      </c>
    </row>
    <row r="6" spans="1:17" ht="13.5" thickBot="1">
      <c r="B6" s="18">
        <v>2004</v>
      </c>
      <c r="C6" s="19">
        <v>20128000</v>
      </c>
      <c r="D6" s="20">
        <f>C6*$C$31</f>
        <v>4142.2892536051822</v>
      </c>
      <c r="E6" s="21">
        <v>870000</v>
      </c>
      <c r="G6" s="18">
        <v>2004</v>
      </c>
      <c r="H6" s="22">
        <f>C6/1000000</f>
        <v>20.128</v>
      </c>
      <c r="I6" s="23">
        <f>D6/1000</f>
        <v>4.1422892536051821</v>
      </c>
      <c r="J6" s="24">
        <f>E6/1000000</f>
        <v>0.87</v>
      </c>
      <c r="M6"/>
      <c r="N6" s="18" t="s">
        <v>3</v>
      </c>
      <c r="O6" s="19">
        <v>25266000</v>
      </c>
      <c r="P6" s="20">
        <f>O6*$C$31</f>
        <v>5199.6760871218476</v>
      </c>
      <c r="Q6" s="21">
        <v>1110000</v>
      </c>
    </row>
    <row r="7" spans="1:17" ht="13.5" thickBot="1">
      <c r="B7" s="18">
        <v>2005</v>
      </c>
      <c r="C7" s="19">
        <f>C41</f>
        <v>24678000</v>
      </c>
      <c r="D7" s="19">
        <f>D41</f>
        <v>4588</v>
      </c>
      <c r="E7" s="19">
        <f>E41</f>
        <v>1029125</v>
      </c>
      <c r="G7" s="18">
        <v>2005</v>
      </c>
      <c r="H7" s="22">
        <f>C7/1000000</f>
        <v>24.678000000000001</v>
      </c>
      <c r="I7" s="23">
        <f>D7/1000</f>
        <v>4.5880000000000001</v>
      </c>
      <c r="J7" s="24">
        <f>E7/1000000</f>
        <v>1.0291250000000001</v>
      </c>
      <c r="M7"/>
      <c r="N7" s="18" t="s">
        <v>7</v>
      </c>
      <c r="O7" s="19">
        <v>19240000</v>
      </c>
      <c r="P7" s="20">
        <f>O7*$C$32</f>
        <v>4174.9672405562733</v>
      </c>
      <c r="Q7" s="21"/>
    </row>
    <row r="8" spans="1:17" ht="13.5" thickBot="1">
      <c r="B8" s="18">
        <v>2006</v>
      </c>
      <c r="C8" s="19">
        <v>27915812</v>
      </c>
      <c r="D8" s="25">
        <v>6009</v>
      </c>
      <c r="E8" s="21">
        <v>1450250</v>
      </c>
      <c r="G8" s="18">
        <v>2006</v>
      </c>
      <c r="H8" s="22">
        <f>C8/1000000</f>
        <v>27.915811999999999</v>
      </c>
      <c r="I8" s="23">
        <f>D8/1000</f>
        <v>6.0090000000000003</v>
      </c>
      <c r="J8" s="24">
        <f>E8/1000000</f>
        <v>1.45025</v>
      </c>
      <c r="M8"/>
      <c r="N8" s="18" t="s">
        <v>8</v>
      </c>
      <c r="O8" s="19">
        <v>4885000</v>
      </c>
      <c r="P8" s="20">
        <f>O8*$C$33</f>
        <v>1270.9065574423796</v>
      </c>
      <c r="Q8" s="21">
        <v>234000</v>
      </c>
    </row>
    <row r="9" spans="1:17" ht="13.5" thickBot="1">
      <c r="B9" s="18">
        <v>2007</v>
      </c>
      <c r="C9" s="19">
        <v>27554191</v>
      </c>
      <c r="D9" s="25">
        <v>5410</v>
      </c>
      <c r="E9" s="21">
        <v>1208300</v>
      </c>
      <c r="G9" s="18">
        <v>2007</v>
      </c>
      <c r="H9" s="22">
        <f>C9/1000000</f>
        <v>27.554190999999999</v>
      </c>
      <c r="I9" s="23">
        <f>D9/1000</f>
        <v>5.41</v>
      </c>
      <c r="J9" s="24">
        <f>E9/1000000</f>
        <v>1.2082999999999999</v>
      </c>
      <c r="M9"/>
      <c r="N9" s="18" t="s">
        <v>52</v>
      </c>
      <c r="O9" s="19">
        <v>381000</v>
      </c>
      <c r="P9" s="20"/>
      <c r="Q9" s="21">
        <v>911000</v>
      </c>
    </row>
    <row r="10" spans="1:17" ht="13.5" thickBot="1">
      <c r="B10" s="11"/>
      <c r="C10" s="26"/>
      <c r="D10" s="26"/>
      <c r="E10" s="26"/>
      <c r="G10" s="11">
        <v>2008</v>
      </c>
      <c r="H10" s="27">
        <f>23210/1000</f>
        <v>23.21</v>
      </c>
      <c r="I10" s="27">
        <f>H10*C31*1000</f>
        <v>4.7765567158275184</v>
      </c>
      <c r="J10" s="27">
        <f>1130/1000</f>
        <v>1.1299999999999999</v>
      </c>
      <c r="M10"/>
      <c r="N10"/>
    </row>
    <row r="11" spans="1:17" ht="13.5" thickBot="1">
      <c r="B11" s="12" t="s">
        <v>7</v>
      </c>
      <c r="C11" s="13" t="s">
        <v>57</v>
      </c>
      <c r="D11" s="14" t="s">
        <v>58</v>
      </c>
      <c r="E11" s="15" t="s">
        <v>59</v>
      </c>
      <c r="G11" s="291">
        <v>2009</v>
      </c>
      <c r="H11" s="292">
        <f>C49/1000000</f>
        <v>33.137731000000002</v>
      </c>
      <c r="I11" s="292">
        <f>D49/1000</f>
        <v>6.1289999999999996</v>
      </c>
      <c r="J11" s="292">
        <f>E49/1000000</f>
        <v>1.5900730000000001</v>
      </c>
      <c r="K11" s="3">
        <f>SUM(H8:H11)</f>
        <v>111.817734</v>
      </c>
      <c r="L11" s="3">
        <f>SUM(I8:I11)</f>
        <v>22.324556715827519</v>
      </c>
      <c r="M11" s="3">
        <f>SUM(J8:J11)</f>
        <v>5.3786230000000002</v>
      </c>
      <c r="N11" s="11" t="s">
        <v>68</v>
      </c>
    </row>
    <row r="12" spans="1:17" ht="13.5" thickBot="1">
      <c r="B12" s="18">
        <v>2004</v>
      </c>
      <c r="C12" s="19">
        <v>15287000</v>
      </c>
      <c r="D12" s="20">
        <f>C12*$C$32</f>
        <v>3317.1894078162036</v>
      </c>
      <c r="E12" s="28" t="s">
        <v>63</v>
      </c>
      <c r="G12" s="12" t="s">
        <v>7</v>
      </c>
      <c r="H12" s="16" t="s">
        <v>60</v>
      </c>
      <c r="I12" s="17" t="s">
        <v>61</v>
      </c>
      <c r="J12" s="15" t="s">
        <v>62</v>
      </c>
      <c r="M12"/>
      <c r="N12" s="12"/>
      <c r="O12" s="33" t="s">
        <v>57</v>
      </c>
      <c r="P12" s="34" t="s">
        <v>58</v>
      </c>
      <c r="Q12" s="35" t="s">
        <v>59</v>
      </c>
    </row>
    <row r="13" spans="1:17" ht="13.5" thickBot="1">
      <c r="B13" s="18">
        <v>2005</v>
      </c>
      <c r="C13" s="19">
        <f>C42</f>
        <v>18001000</v>
      </c>
      <c r="D13" s="19">
        <f>D42</f>
        <v>2920</v>
      </c>
      <c r="E13" s="28" t="s">
        <v>63</v>
      </c>
      <c r="G13" s="18">
        <v>2004</v>
      </c>
      <c r="H13" s="22">
        <f>C12/1000000</f>
        <v>15.287000000000001</v>
      </c>
      <c r="I13" s="23">
        <f>D12/1000</f>
        <v>3.3171894078162034</v>
      </c>
      <c r="J13" s="28" t="s">
        <v>63</v>
      </c>
      <c r="M13"/>
      <c r="N13" s="18" t="s">
        <v>3</v>
      </c>
      <c r="O13" s="36">
        <f>(O6/C7)-1</f>
        <v>2.3826890347678154E-2</v>
      </c>
      <c r="P13" s="36">
        <f>(P6/D7)-1</f>
        <v>0.13332085595506693</v>
      </c>
      <c r="Q13" s="36">
        <f>(Q6/E7)-1</f>
        <v>7.8586177578039651E-2</v>
      </c>
    </row>
    <row r="14" spans="1:17" ht="13.5" thickBot="1">
      <c r="B14" s="18">
        <v>2006</v>
      </c>
      <c r="C14" s="19">
        <v>26762122</v>
      </c>
      <c r="D14" s="25">
        <v>5807</v>
      </c>
      <c r="E14" s="28" t="s">
        <v>63</v>
      </c>
      <c r="G14" s="18">
        <v>2005</v>
      </c>
      <c r="H14" s="22">
        <f>C13/1000000</f>
        <v>18.001000000000001</v>
      </c>
      <c r="I14" s="23">
        <f>D13/1000</f>
        <v>2.92</v>
      </c>
      <c r="J14" s="28" t="s">
        <v>63</v>
      </c>
      <c r="M14"/>
      <c r="N14" s="18" t="s">
        <v>7</v>
      </c>
      <c r="O14" s="36">
        <f>(O7/C13)-1</f>
        <v>6.8829509471695971E-2</v>
      </c>
      <c r="P14" s="36">
        <f>(P7/D13)-1</f>
        <v>0.42978330156036759</v>
      </c>
      <c r="Q14" s="36"/>
    </row>
    <row r="15" spans="1:17" ht="13.5" thickBot="1">
      <c r="B15" s="18">
        <v>2007</v>
      </c>
      <c r="C15" s="19">
        <v>21142614</v>
      </c>
      <c r="D15" s="25">
        <v>4588</v>
      </c>
      <c r="E15" s="28" t="s">
        <v>63</v>
      </c>
      <c r="G15" s="18">
        <v>2006</v>
      </c>
      <c r="H15" s="22">
        <f>C14/1000000</f>
        <v>26.762122000000002</v>
      </c>
      <c r="I15" s="23">
        <f>D14/1000</f>
        <v>5.8070000000000004</v>
      </c>
      <c r="J15" s="28" t="s">
        <v>63</v>
      </c>
      <c r="M15"/>
      <c r="N15" s="18" t="s">
        <v>8</v>
      </c>
      <c r="O15" s="36">
        <f>(O8/C19)-1</f>
        <v>5.280172413793105E-2</v>
      </c>
      <c r="P15" s="36">
        <f>(P8/D19)-1</f>
        <v>0.58863319680297455</v>
      </c>
      <c r="Q15" s="36">
        <f>(Q8/E19)-1</f>
        <v>0.51458271304482905</v>
      </c>
    </row>
    <row r="16" spans="1:17" ht="13.5" thickBot="1">
      <c r="B16" s="11"/>
      <c r="C16" s="26"/>
      <c r="D16" s="26"/>
      <c r="E16" s="26"/>
      <c r="G16" s="18">
        <v>2007</v>
      </c>
      <c r="H16" s="22">
        <f>C15/1000000</f>
        <v>21.142613999999998</v>
      </c>
      <c r="I16" s="23">
        <f>D15/1000</f>
        <v>4.5880000000000001</v>
      </c>
      <c r="J16" s="28" t="s">
        <v>63</v>
      </c>
      <c r="M16"/>
      <c r="N16" s="18" t="s">
        <v>52</v>
      </c>
      <c r="O16" s="36">
        <f>(O9/C25)-1</f>
        <v>0</v>
      </c>
      <c r="P16" s="36"/>
      <c r="Q16" s="36">
        <f>(Q9/E25)-1</f>
        <v>0.279911431814861</v>
      </c>
    </row>
    <row r="17" spans="2:14" ht="13.5" thickBot="1">
      <c r="B17" s="12" t="s">
        <v>8</v>
      </c>
      <c r="C17" s="13" t="s">
        <v>57</v>
      </c>
      <c r="D17" s="14" t="s">
        <v>58</v>
      </c>
      <c r="E17" s="15" t="s">
        <v>59</v>
      </c>
      <c r="G17" s="11">
        <v>2008</v>
      </c>
      <c r="H17" s="27">
        <f>25915/1000</f>
        <v>25.914999999999999</v>
      </c>
      <c r="I17" s="27">
        <f>25915*C32</f>
        <v>5.623403120530968</v>
      </c>
      <c r="J17" s="26"/>
      <c r="M17"/>
      <c r="N17"/>
    </row>
    <row r="18" spans="2:14" ht="13.5" thickBot="1">
      <c r="B18" s="18">
        <v>2004</v>
      </c>
      <c r="C18" s="19">
        <v>6887000</v>
      </c>
      <c r="D18" s="20">
        <f>C18*$C$33</f>
        <v>1791.757105651109</v>
      </c>
      <c r="E18" s="21">
        <v>263000</v>
      </c>
      <c r="G18" s="291">
        <v>2009</v>
      </c>
      <c r="H18" s="292">
        <f>C50/1000000</f>
        <v>23.514554</v>
      </c>
      <c r="I18" s="292">
        <f>D50/1000</f>
        <v>6.4950000000000001</v>
      </c>
      <c r="J18" s="293"/>
      <c r="M18"/>
      <c r="N18"/>
    </row>
    <row r="19" spans="2:14" ht="13.5" thickBot="1">
      <c r="B19" s="18">
        <v>2005</v>
      </c>
      <c r="C19" s="19">
        <f>C43</f>
        <v>4640000</v>
      </c>
      <c r="D19" s="19">
        <f>D43</f>
        <v>800</v>
      </c>
      <c r="E19" s="19">
        <f>E43</f>
        <v>154498</v>
      </c>
      <c r="G19" s="12" t="s">
        <v>8</v>
      </c>
      <c r="H19" s="16" t="s">
        <v>60</v>
      </c>
      <c r="I19" s="17" t="s">
        <v>61</v>
      </c>
      <c r="J19" s="15" t="s">
        <v>62</v>
      </c>
      <c r="M19"/>
      <c r="N19"/>
    </row>
    <row r="20" spans="2:14" ht="13.5" thickBot="1">
      <c r="B20" s="18">
        <v>2006</v>
      </c>
      <c r="C20" s="19">
        <v>5311868</v>
      </c>
      <c r="D20" s="25">
        <v>1983</v>
      </c>
      <c r="E20" s="21">
        <v>283766</v>
      </c>
      <c r="G20" s="18">
        <v>2004</v>
      </c>
      <c r="H20" s="22">
        <f>C18/1000000</f>
        <v>6.8869999999999996</v>
      </c>
      <c r="I20" s="23">
        <f>D18/1000</f>
        <v>1.791757105651109</v>
      </c>
      <c r="J20" s="24">
        <f>E18/1000000</f>
        <v>0.26300000000000001</v>
      </c>
      <c r="M20"/>
      <c r="N20"/>
    </row>
    <row r="21" spans="2:14" ht="13.5" thickBot="1">
      <c r="B21" s="18">
        <v>2007</v>
      </c>
      <c r="C21" s="19">
        <v>4428113</v>
      </c>
      <c r="D21" s="25">
        <v>651</v>
      </c>
      <c r="E21" s="21">
        <v>220478</v>
      </c>
      <c r="G21" s="18">
        <v>2005</v>
      </c>
      <c r="H21" s="22">
        <f>C19/1000000</f>
        <v>4.6399999999999997</v>
      </c>
      <c r="I21" s="23">
        <f>D19/1000</f>
        <v>0.8</v>
      </c>
      <c r="J21" s="24">
        <f>E19/1000000</f>
        <v>0.154498</v>
      </c>
      <c r="M21"/>
      <c r="N21"/>
    </row>
    <row r="22" spans="2:14" ht="13.5" thickBot="1">
      <c r="B22" s="11"/>
      <c r="C22" s="26"/>
      <c r="D22" s="26"/>
      <c r="E22" s="26"/>
      <c r="G22" s="18">
        <v>2006</v>
      </c>
      <c r="H22" s="22">
        <f>C20/1000000</f>
        <v>5.3118679999999996</v>
      </c>
      <c r="I22" s="23">
        <f>D20/1000</f>
        <v>1.9830000000000001</v>
      </c>
      <c r="J22" s="24">
        <f>E20/1000000</f>
        <v>0.28376600000000002</v>
      </c>
      <c r="M22"/>
      <c r="N22"/>
    </row>
    <row r="23" spans="2:14" ht="13.5" thickBot="1">
      <c r="B23" s="12" t="s">
        <v>9</v>
      </c>
      <c r="C23" s="13" t="s">
        <v>57</v>
      </c>
      <c r="D23" s="14" t="s">
        <v>58</v>
      </c>
      <c r="E23" s="15" t="s">
        <v>59</v>
      </c>
      <c r="G23" s="18">
        <v>2007</v>
      </c>
      <c r="H23" s="22">
        <f>C21/1000000</f>
        <v>4.4281129999999997</v>
      </c>
      <c r="I23" s="23">
        <f>D21/1000</f>
        <v>0.65100000000000002</v>
      </c>
      <c r="J23" s="24">
        <f>E21/1000000</f>
        <v>0.22047800000000001</v>
      </c>
      <c r="M23"/>
      <c r="N23"/>
    </row>
    <row r="24" spans="2:14" ht="13.5" thickBot="1">
      <c r="B24" s="18">
        <v>2004</v>
      </c>
      <c r="C24" s="19">
        <v>131000</v>
      </c>
      <c r="D24" s="20" t="s">
        <v>63</v>
      </c>
      <c r="E24" s="21">
        <v>1030000</v>
      </c>
      <c r="G24" s="11">
        <v>2008</v>
      </c>
      <c r="H24" s="27">
        <f>6494/1000</f>
        <v>6.4939999999999998</v>
      </c>
      <c r="I24" s="27">
        <f>6494*C33</f>
        <v>1.689512217815929</v>
      </c>
      <c r="J24" s="27">
        <f>320/1000</f>
        <v>0.32</v>
      </c>
      <c r="M24"/>
      <c r="N24"/>
    </row>
    <row r="25" spans="2:14" ht="13.5" thickBot="1">
      <c r="B25" s="18">
        <v>2005</v>
      </c>
      <c r="C25" s="19">
        <v>381000</v>
      </c>
      <c r="D25" s="20" t="s">
        <v>63</v>
      </c>
      <c r="E25" s="21">
        <f>E44</f>
        <v>711768</v>
      </c>
      <c r="G25" s="291">
        <v>2009</v>
      </c>
      <c r="H25" s="292">
        <f>C43/1000000</f>
        <v>4.6399999999999997</v>
      </c>
      <c r="I25" s="292">
        <f>D43/1000</f>
        <v>0.8</v>
      </c>
      <c r="J25" s="292">
        <f>E43/1000000</f>
        <v>0.154498</v>
      </c>
      <c r="M25"/>
      <c r="N25"/>
    </row>
    <row r="26" spans="2:14" ht="13.5" thickBot="1">
      <c r="B26" s="18">
        <v>2006</v>
      </c>
      <c r="C26" s="19">
        <v>271719</v>
      </c>
      <c r="D26" s="20" t="s">
        <v>63</v>
      </c>
      <c r="E26" s="21">
        <v>834296</v>
      </c>
      <c r="G26" s="12" t="s">
        <v>9</v>
      </c>
      <c r="H26" s="16" t="s">
        <v>60</v>
      </c>
      <c r="I26" s="17" t="s">
        <v>61</v>
      </c>
      <c r="J26" s="15" t="s">
        <v>62</v>
      </c>
      <c r="M26"/>
      <c r="N26"/>
    </row>
    <row r="27" spans="2:14" ht="13.5" thickBot="1">
      <c r="B27" s="18">
        <v>2007</v>
      </c>
      <c r="C27" s="29"/>
      <c r="D27" s="20" t="s">
        <v>63</v>
      </c>
      <c r="E27" s="21">
        <v>891231</v>
      </c>
      <c r="G27" s="18">
        <v>2004</v>
      </c>
      <c r="H27" s="22">
        <f>C24/1000000</f>
        <v>0.13100000000000001</v>
      </c>
      <c r="I27" s="23" t="s">
        <v>63</v>
      </c>
      <c r="J27" s="24">
        <f>E24/1000000</f>
        <v>1.03</v>
      </c>
      <c r="M27"/>
      <c r="N27"/>
    </row>
    <row r="28" spans="2:14" ht="13.5" thickBot="1">
      <c r="G28" s="18">
        <v>2005</v>
      </c>
      <c r="H28" s="22">
        <f>C25/1000000</f>
        <v>0.38100000000000001</v>
      </c>
      <c r="I28" s="23" t="s">
        <v>63</v>
      </c>
      <c r="J28" s="24">
        <f>E25/1000000</f>
        <v>0.71176799999999996</v>
      </c>
    </row>
    <row r="29" spans="2:14" ht="13.5" thickBot="1">
      <c r="F29" s="3"/>
      <c r="G29" s="18">
        <v>2006</v>
      </c>
      <c r="H29" s="22">
        <f>C26/1000000</f>
        <v>0.27171899999999999</v>
      </c>
      <c r="I29" s="23" t="s">
        <v>63</v>
      </c>
      <c r="J29" s="24">
        <f>E26/1000000</f>
        <v>0.83429600000000004</v>
      </c>
      <c r="K29" s="2"/>
      <c r="L29" s="2"/>
      <c r="N29"/>
    </row>
    <row r="30" spans="2:14" ht="13.5" thickBot="1">
      <c r="B30" s="12" t="s">
        <v>64</v>
      </c>
      <c r="C30" s="13"/>
      <c r="F30" s="3"/>
      <c r="G30" s="18">
        <v>2007</v>
      </c>
      <c r="H30" s="22">
        <f>C27/1000000</f>
        <v>0</v>
      </c>
      <c r="I30" s="23" t="s">
        <v>63</v>
      </c>
      <c r="J30" s="24">
        <f>E27/1000000</f>
        <v>0.891231</v>
      </c>
      <c r="K30" s="2"/>
      <c r="L30" s="2"/>
      <c r="N30"/>
    </row>
    <row r="31" spans="2:14" ht="13.5" thickBot="1">
      <c r="B31" s="30" t="s">
        <v>3</v>
      </c>
      <c r="C31" s="31">
        <f>AVERAGE((D8/C8),(D9/C9))</f>
        <v>2.0579735957895382E-4</v>
      </c>
      <c r="F31" s="3"/>
      <c r="G31" s="227">
        <v>2008</v>
      </c>
      <c r="H31" s="3">
        <v>0</v>
      </c>
      <c r="I31" s="3">
        <v>0</v>
      </c>
      <c r="J31" s="3">
        <f>1167/1000</f>
        <v>1.167</v>
      </c>
      <c r="K31" s="2"/>
      <c r="L31" s="2"/>
      <c r="N31"/>
    </row>
    <row r="32" spans="2:14" ht="13.5" thickBot="1">
      <c r="B32" s="12" t="s">
        <v>7</v>
      </c>
      <c r="C32" s="31">
        <f>AVERAGE((D14/C14),(D15/C15))</f>
        <v>2.1699413932205165E-4</v>
      </c>
      <c r="F32" s="3"/>
      <c r="G32" s="291">
        <v>2009</v>
      </c>
      <c r="H32" s="264"/>
      <c r="I32" s="265"/>
      <c r="J32" s="265">
        <f>E44/1000000</f>
        <v>0.71176799999999996</v>
      </c>
      <c r="K32" s="2"/>
      <c r="L32" s="2"/>
      <c r="N32"/>
    </row>
    <row r="33" spans="1:14" ht="13.5" thickBot="1">
      <c r="B33" s="12" t="s">
        <v>8</v>
      </c>
      <c r="C33" s="31">
        <f>AVERAGE((D20/C20),(D21/C21))</f>
        <v>2.601651089953694E-4</v>
      </c>
      <c r="F33" s="3"/>
      <c r="G33" s="3"/>
      <c r="H33" s="2"/>
      <c r="I33"/>
      <c r="J33"/>
      <c r="K33" s="2"/>
      <c r="L33" s="2"/>
      <c r="N33"/>
    </row>
    <row r="34" spans="1:14">
      <c r="F34" s="3"/>
      <c r="G34" s="3"/>
      <c r="H34" s="2"/>
      <c r="I34"/>
      <c r="J34"/>
      <c r="K34" s="2"/>
      <c r="L34" s="2"/>
      <c r="N34"/>
    </row>
    <row r="35" spans="1:14">
      <c r="G35" s="3"/>
      <c r="H35" s="2"/>
      <c r="I35"/>
      <c r="J35"/>
    </row>
    <row r="36" spans="1:14">
      <c r="G36" s="3"/>
      <c r="H36" s="2"/>
      <c r="I36"/>
      <c r="J36"/>
    </row>
    <row r="37" spans="1:14">
      <c r="G37" s="3"/>
      <c r="H37" s="2"/>
      <c r="I37"/>
      <c r="J37"/>
    </row>
    <row r="39" spans="1:14" ht="13.5" thickBot="1">
      <c r="B39" s="11" t="s">
        <v>65</v>
      </c>
    </row>
    <row r="40" spans="1:14" ht="37.5" customHeight="1" thickBot="1">
      <c r="B40" s="12"/>
      <c r="C40" s="13" t="s">
        <v>57</v>
      </c>
      <c r="D40" s="14" t="s">
        <v>58</v>
      </c>
      <c r="E40" s="15" t="s">
        <v>59</v>
      </c>
      <c r="L40" s="2"/>
    </row>
    <row r="41" spans="1:14" ht="13.5" thickBot="1">
      <c r="B41" s="18" t="s">
        <v>3</v>
      </c>
      <c r="C41" s="19">
        <f>24678*1000</f>
        <v>24678000</v>
      </c>
      <c r="D41" s="20">
        <v>4588</v>
      </c>
      <c r="E41" s="21">
        <v>1029125</v>
      </c>
      <c r="L41" s="2"/>
    </row>
    <row r="42" spans="1:14" ht="13.5" thickBot="1">
      <c r="B42" s="18" t="s">
        <v>7</v>
      </c>
      <c r="C42" s="19">
        <f>18001*1000</f>
        <v>18001000</v>
      </c>
      <c r="D42" s="20">
        <v>2920</v>
      </c>
      <c r="E42" s="21"/>
      <c r="L42" s="2"/>
    </row>
    <row r="43" spans="1:14" ht="13.5" thickBot="1">
      <c r="B43" s="18" t="s">
        <v>8</v>
      </c>
      <c r="C43" s="19">
        <f>4640*1000</f>
        <v>4640000</v>
      </c>
      <c r="D43" s="20">
        <v>800</v>
      </c>
      <c r="E43" s="21">
        <v>154498</v>
      </c>
      <c r="G43" s="3"/>
      <c r="I43" s="2"/>
      <c r="J43"/>
      <c r="L43" s="2"/>
    </row>
    <row r="44" spans="1:14" ht="13.5" thickBot="1">
      <c r="B44" s="18" t="s">
        <v>9</v>
      </c>
      <c r="C44" s="29"/>
      <c r="D44" s="20"/>
      <c r="E44" s="21">
        <v>711768</v>
      </c>
      <c r="G44" s="3"/>
      <c r="I44" s="2"/>
      <c r="J44"/>
      <c r="L44" s="2"/>
    </row>
    <row r="45" spans="1:14" ht="36" customHeight="1">
      <c r="A45" s="32"/>
      <c r="B45" s="457" t="s">
        <v>66</v>
      </c>
      <c r="C45" s="457"/>
      <c r="D45" s="457"/>
      <c r="E45" s="457"/>
      <c r="G45" s="3"/>
      <c r="I45" s="2"/>
      <c r="J45"/>
      <c r="L45" s="2"/>
    </row>
    <row r="46" spans="1:14">
      <c r="G46" s="3"/>
      <c r="I46" s="2"/>
      <c r="J46"/>
      <c r="L46" s="2"/>
    </row>
    <row r="47" spans="1:14" ht="13.5" thickBot="1">
      <c r="G47" s="3"/>
      <c r="I47" s="2"/>
      <c r="J47"/>
    </row>
    <row r="48" spans="1:14" ht="51.75" thickBot="1">
      <c r="B48" s="287" t="s">
        <v>255</v>
      </c>
      <c r="C48" s="288" t="s">
        <v>257</v>
      </c>
      <c r="D48" s="288" t="s">
        <v>256</v>
      </c>
      <c r="E48" s="288" t="s">
        <v>258</v>
      </c>
      <c r="G48" s="3"/>
      <c r="I48" s="2"/>
      <c r="J48"/>
    </row>
    <row r="49" spans="2:10" ht="13.5" thickBot="1">
      <c r="B49" s="277" t="s">
        <v>195</v>
      </c>
      <c r="C49" s="290">
        <v>33137731</v>
      </c>
      <c r="D49" s="289">
        <v>6129</v>
      </c>
      <c r="E49" s="290">
        <v>1590073</v>
      </c>
      <c r="G49" s="3"/>
      <c r="I49" s="2"/>
      <c r="J49"/>
    </row>
    <row r="50" spans="2:10" ht="13.5" thickBot="1">
      <c r="B50" s="277" t="s">
        <v>7</v>
      </c>
      <c r="C50" s="290">
        <v>23514554</v>
      </c>
      <c r="D50" s="290">
        <v>6495</v>
      </c>
      <c r="E50" s="289">
        <v>0</v>
      </c>
    </row>
    <row r="51" spans="2:10" ht="13.5" thickBot="1">
      <c r="B51" s="277" t="s">
        <v>52</v>
      </c>
      <c r="C51" s="289">
        <v>0</v>
      </c>
      <c r="D51" s="289">
        <v>0</v>
      </c>
      <c r="E51" s="290">
        <v>1598422</v>
      </c>
    </row>
    <row r="52" spans="2:10" ht="13.5" thickBot="1">
      <c r="B52" s="277" t="s">
        <v>12</v>
      </c>
      <c r="C52" s="290">
        <v>6489099</v>
      </c>
      <c r="D52" s="290">
        <v>1265</v>
      </c>
      <c r="E52" s="290">
        <v>283161</v>
      </c>
    </row>
    <row r="53" spans="2:10" ht="13.5" thickBot="1">
      <c r="B53" s="277" t="s">
        <v>13</v>
      </c>
      <c r="C53" s="290">
        <f>SUM(C49:C52)</f>
        <v>63141384</v>
      </c>
      <c r="D53" s="290">
        <f>SUM(D49:D52)</f>
        <v>13889</v>
      </c>
      <c r="E53" s="290">
        <f>SUM(E49:E52)</f>
        <v>3471656</v>
      </c>
    </row>
    <row r="55" spans="2:10">
      <c r="B55" s="297" t="s">
        <v>267</v>
      </c>
    </row>
    <row r="56" spans="2:10">
      <c r="B56" s="295" t="s">
        <v>259</v>
      </c>
    </row>
    <row r="57" spans="2:10">
      <c r="B57" s="296" t="s">
        <v>260</v>
      </c>
    </row>
    <row r="58" spans="2:10">
      <c r="B58" s="294"/>
    </row>
    <row r="59" spans="2:10">
      <c r="B59" s="295" t="s">
        <v>261</v>
      </c>
    </row>
    <row r="60" spans="2:10">
      <c r="B60" s="296" t="s">
        <v>262</v>
      </c>
    </row>
    <row r="61" spans="2:10">
      <c r="B61" s="294"/>
    </row>
    <row r="62" spans="2:10">
      <c r="B62" s="295" t="s">
        <v>263</v>
      </c>
    </row>
    <row r="63" spans="2:10">
      <c r="B63" s="296" t="s">
        <v>264</v>
      </c>
    </row>
    <row r="64" spans="2:10">
      <c r="B64" s="294"/>
    </row>
    <row r="65" spans="2:2">
      <c r="B65" s="295" t="s">
        <v>265</v>
      </c>
    </row>
    <row r="66" spans="2:2">
      <c r="B66" s="296" t="s">
        <v>266</v>
      </c>
    </row>
  </sheetData>
  <mergeCells count="1">
    <mergeCell ref="B45:E45"/>
  </mergeCells>
  <phoneticPr fontId="6" type="noConversion"/>
  <hyperlinks>
    <hyperlink ref="B57" r:id="rId1" display="http://www.liob.org/docs/PG&amp;E Cover Pleading and LIEE-CARE Annual Report 5-3-10.pdf"/>
    <hyperlink ref="B60" r:id="rId2" display="http://www.liob.org/docs/SDG&amp;E Annual LIEE CARE 2009 Results 5-3-10.pdf"/>
    <hyperlink ref="B63" r:id="rId3" display="http://www.liob.org/docs/SCG Annual LIEE CARE 2009 Results 5-3-10.pdf"/>
    <hyperlink ref="B66" r:id="rId4" display="http://www.liob.org/docs/SCE Annual Project Reports for FERA  LIEE Pro 5-3-10.pdf"/>
  </hyperlinks>
  <pageMargins left="0.75" right="0.75" top="1" bottom="1" header="0.5" footer="0.5"/>
  <pageSetup orientation="portrait" r:id="rId5"/>
  <headerFooter alignWithMargins="0"/>
</worksheet>
</file>

<file path=xl/worksheets/sheet9.xml><?xml version="1.0" encoding="utf-8"?>
<worksheet xmlns="http://schemas.openxmlformats.org/spreadsheetml/2006/main" xmlns:r="http://schemas.openxmlformats.org/officeDocument/2006/relationships">
  <sheetPr codeName="Sheet9"/>
  <dimension ref="B2:J37"/>
  <sheetViews>
    <sheetView topLeftCell="A7" workbookViewId="0">
      <selection activeCell="O13" sqref="O13"/>
    </sheetView>
  </sheetViews>
  <sheetFormatPr defaultRowHeight="12.75"/>
  <sheetData>
    <row r="2" spans="2:10">
      <c r="B2" s="9"/>
    </row>
    <row r="3" spans="2:10" ht="16.5" thickBot="1">
      <c r="B3" s="10" t="s">
        <v>44</v>
      </c>
    </row>
    <row r="4" spans="2:10" ht="13.5" thickBot="1">
      <c r="B4" s="461" t="s">
        <v>45</v>
      </c>
      <c r="C4" s="461" t="s">
        <v>46</v>
      </c>
      <c r="D4" s="463" t="s">
        <v>47</v>
      </c>
      <c r="E4" s="465"/>
      <c r="F4" s="463" t="s">
        <v>48</v>
      </c>
      <c r="G4" s="465"/>
      <c r="H4" s="463" t="s">
        <v>13</v>
      </c>
      <c r="I4" s="464"/>
      <c r="J4" s="465"/>
    </row>
    <row r="5" spans="2:10" ht="26.25" thickBot="1">
      <c r="B5" s="462"/>
      <c r="C5" s="462"/>
      <c r="D5" s="5" t="s">
        <v>49</v>
      </c>
      <c r="E5" s="5" t="s">
        <v>50</v>
      </c>
      <c r="F5" s="5" t="s">
        <v>49</v>
      </c>
      <c r="G5" s="5" t="s">
        <v>50</v>
      </c>
      <c r="H5" s="5" t="s">
        <v>49</v>
      </c>
      <c r="I5" s="5" t="s">
        <v>50</v>
      </c>
      <c r="J5" s="5" t="s">
        <v>51</v>
      </c>
    </row>
    <row r="6" spans="2:10" ht="13.5" thickBot="1">
      <c r="B6" s="458">
        <v>2006</v>
      </c>
      <c r="C6" s="6" t="s">
        <v>3</v>
      </c>
      <c r="D6" s="7">
        <v>23.7</v>
      </c>
      <c r="E6" s="7">
        <v>21.4</v>
      </c>
      <c r="F6" s="7">
        <v>14.2</v>
      </c>
      <c r="G6" s="7">
        <v>12</v>
      </c>
      <c r="H6" s="7">
        <v>37.9</v>
      </c>
      <c r="I6" s="7">
        <v>33.4</v>
      </c>
      <c r="J6" s="8">
        <v>0.88</v>
      </c>
    </row>
    <row r="7" spans="2:10" ht="13.5" thickBot="1">
      <c r="B7" s="459"/>
      <c r="C7" s="6" t="s">
        <v>8</v>
      </c>
      <c r="D7" s="7">
        <v>5.6</v>
      </c>
      <c r="E7" s="7">
        <v>5</v>
      </c>
      <c r="F7" s="7">
        <v>3.3</v>
      </c>
      <c r="G7" s="7">
        <v>2.8</v>
      </c>
      <c r="H7" s="7">
        <v>8.9</v>
      </c>
      <c r="I7" s="7">
        <v>7.8</v>
      </c>
      <c r="J7" s="8">
        <v>0.88</v>
      </c>
    </row>
    <row r="8" spans="2:10" ht="13.5" thickBot="1">
      <c r="B8" s="459"/>
      <c r="C8" s="6" t="s">
        <v>7</v>
      </c>
      <c r="D8" s="7">
        <v>24.5</v>
      </c>
      <c r="E8" s="7">
        <v>22.2</v>
      </c>
      <c r="F8" s="7">
        <v>19.8</v>
      </c>
      <c r="G8" s="7">
        <v>10.6</v>
      </c>
      <c r="H8" s="7">
        <v>44.3</v>
      </c>
      <c r="I8" s="7">
        <v>32.799999999999997</v>
      </c>
      <c r="J8" s="8">
        <v>0.74</v>
      </c>
    </row>
    <row r="9" spans="2:10" ht="13.5" thickBot="1">
      <c r="B9" s="460"/>
      <c r="C9" s="6" t="s">
        <v>52</v>
      </c>
      <c r="D9" s="7" t="s">
        <v>53</v>
      </c>
      <c r="E9" s="7" t="s">
        <v>53</v>
      </c>
      <c r="F9" s="7" t="s">
        <v>53</v>
      </c>
      <c r="G9" s="7" t="s">
        <v>53</v>
      </c>
      <c r="H9" s="7" t="s">
        <v>53</v>
      </c>
      <c r="I9" s="7" t="s">
        <v>53</v>
      </c>
      <c r="J9" s="7" t="s">
        <v>53</v>
      </c>
    </row>
    <row r="10" spans="2:10" ht="13.5" thickBot="1">
      <c r="B10" s="458">
        <v>2007</v>
      </c>
      <c r="C10" s="6" t="s">
        <v>3</v>
      </c>
      <c r="D10" s="7">
        <v>23.7</v>
      </c>
      <c r="E10" s="7">
        <v>22.8</v>
      </c>
      <c r="F10" s="7">
        <v>15.4</v>
      </c>
      <c r="G10" s="7">
        <v>12.9</v>
      </c>
      <c r="H10" s="7">
        <v>39.1</v>
      </c>
      <c r="I10" s="7">
        <v>35.799999999999997</v>
      </c>
      <c r="J10" s="8">
        <v>0.91</v>
      </c>
    </row>
    <row r="11" spans="2:10" ht="13.5" thickBot="1">
      <c r="B11" s="459"/>
      <c r="C11" s="6" t="s">
        <v>8</v>
      </c>
      <c r="D11" s="7">
        <v>5.6</v>
      </c>
      <c r="E11" s="7">
        <v>5.3</v>
      </c>
      <c r="F11" s="7">
        <v>3.6</v>
      </c>
      <c r="G11" s="7">
        <v>3</v>
      </c>
      <c r="H11" s="7">
        <v>9.1999999999999993</v>
      </c>
      <c r="I11" s="7">
        <v>8.4</v>
      </c>
      <c r="J11" s="8">
        <v>0.91</v>
      </c>
    </row>
    <row r="12" spans="2:10" ht="13.5" thickBot="1">
      <c r="B12" s="459"/>
      <c r="C12" s="6" t="s">
        <v>7</v>
      </c>
      <c r="D12" s="7">
        <v>25.7</v>
      </c>
      <c r="E12" s="7">
        <v>24.7</v>
      </c>
      <c r="F12" s="7">
        <v>18.399999999999999</v>
      </c>
      <c r="G12" s="7">
        <v>11.8</v>
      </c>
      <c r="H12" s="7">
        <v>44.1</v>
      </c>
      <c r="I12" s="7">
        <v>36.5</v>
      </c>
      <c r="J12" s="8">
        <v>0.82</v>
      </c>
    </row>
    <row r="13" spans="2:10" ht="13.5" thickBot="1">
      <c r="B13" s="460"/>
      <c r="C13" s="6" t="s">
        <v>52</v>
      </c>
      <c r="D13" s="7" t="s">
        <v>53</v>
      </c>
      <c r="E13" s="7" t="s">
        <v>53</v>
      </c>
      <c r="F13" s="7" t="s">
        <v>53</v>
      </c>
      <c r="G13" s="7" t="s">
        <v>53</v>
      </c>
      <c r="H13" s="7" t="s">
        <v>53</v>
      </c>
      <c r="I13" s="7" t="s">
        <v>53</v>
      </c>
      <c r="J13" s="7" t="s">
        <v>53</v>
      </c>
    </row>
    <row r="15" spans="2:10" ht="16.5" thickBot="1">
      <c r="B15" s="10" t="s">
        <v>54</v>
      </c>
    </row>
    <row r="16" spans="2:10" ht="13.5" thickBot="1">
      <c r="B16" s="461" t="s">
        <v>45</v>
      </c>
      <c r="C16" s="461" t="s">
        <v>46</v>
      </c>
      <c r="D16" s="463" t="s">
        <v>47</v>
      </c>
      <c r="E16" s="465"/>
      <c r="F16" s="463" t="s">
        <v>48</v>
      </c>
      <c r="G16" s="465"/>
      <c r="H16" s="463" t="s">
        <v>13</v>
      </c>
      <c r="I16" s="464"/>
      <c r="J16" s="465"/>
    </row>
    <row r="17" spans="2:10" ht="26.25" thickBot="1">
      <c r="B17" s="462"/>
      <c r="C17" s="462"/>
      <c r="D17" s="5" t="s">
        <v>49</v>
      </c>
      <c r="E17" s="5" t="s">
        <v>50</v>
      </c>
      <c r="F17" s="5" t="s">
        <v>49</v>
      </c>
      <c r="G17" s="5" t="s">
        <v>50</v>
      </c>
      <c r="H17" s="5" t="s">
        <v>49</v>
      </c>
      <c r="I17" s="5" t="s">
        <v>50</v>
      </c>
      <c r="J17" s="5" t="s">
        <v>51</v>
      </c>
    </row>
    <row r="18" spans="2:10" ht="13.5" thickBot="1">
      <c r="B18" s="458">
        <v>2006</v>
      </c>
      <c r="C18" s="6" t="s">
        <v>3</v>
      </c>
      <c r="D18" s="7">
        <v>3.5</v>
      </c>
      <c r="E18" s="7">
        <v>3.3</v>
      </c>
      <c r="F18" s="7">
        <v>7.5</v>
      </c>
      <c r="G18" s="7">
        <v>6.4</v>
      </c>
      <c r="H18" s="7">
        <v>11</v>
      </c>
      <c r="I18" s="7">
        <v>9.6999999999999993</v>
      </c>
      <c r="J18" s="8">
        <v>0.88</v>
      </c>
    </row>
    <row r="19" spans="2:10" ht="13.5" thickBot="1">
      <c r="B19" s="459"/>
      <c r="C19" s="6" t="s">
        <v>8</v>
      </c>
      <c r="D19" s="7">
        <v>0.8</v>
      </c>
      <c r="E19" s="7">
        <v>0.8</v>
      </c>
      <c r="F19" s="7">
        <v>1.8</v>
      </c>
      <c r="G19" s="7">
        <v>1.5</v>
      </c>
      <c r="H19" s="7">
        <v>2.6</v>
      </c>
      <c r="I19" s="7">
        <v>2.2999999999999998</v>
      </c>
      <c r="J19" s="8">
        <v>0.88</v>
      </c>
    </row>
    <row r="20" spans="2:10" ht="13.5" thickBot="1">
      <c r="B20" s="459"/>
      <c r="C20" s="6" t="s">
        <v>7</v>
      </c>
      <c r="D20" s="7">
        <v>3.8</v>
      </c>
      <c r="E20" s="7">
        <v>3.5</v>
      </c>
      <c r="F20" s="7">
        <v>8.6</v>
      </c>
      <c r="G20" s="7">
        <v>5.4</v>
      </c>
      <c r="H20" s="7">
        <v>12.4</v>
      </c>
      <c r="I20" s="7">
        <v>9</v>
      </c>
      <c r="J20" s="8">
        <v>0.72</v>
      </c>
    </row>
    <row r="21" spans="2:10" ht="13.5" thickBot="1">
      <c r="B21" s="460"/>
      <c r="C21" s="6" t="s">
        <v>52</v>
      </c>
      <c r="D21" s="7" t="s">
        <v>53</v>
      </c>
      <c r="E21" s="7" t="s">
        <v>53</v>
      </c>
      <c r="F21" s="7" t="s">
        <v>53</v>
      </c>
      <c r="G21" s="7" t="s">
        <v>53</v>
      </c>
      <c r="H21" s="7" t="s">
        <v>53</v>
      </c>
      <c r="I21" s="7" t="s">
        <v>53</v>
      </c>
      <c r="J21" s="7" t="s">
        <v>53</v>
      </c>
    </row>
    <row r="22" spans="2:10" ht="13.5" thickBot="1">
      <c r="B22" s="458">
        <v>2007</v>
      </c>
      <c r="C22" s="6" t="s">
        <v>3</v>
      </c>
      <c r="D22" s="7">
        <v>3.7</v>
      </c>
      <c r="E22" s="7">
        <v>3.6</v>
      </c>
      <c r="F22" s="7">
        <v>8.1999999999999993</v>
      </c>
      <c r="G22" s="7">
        <v>6.5</v>
      </c>
      <c r="H22" s="7">
        <v>11.9</v>
      </c>
      <c r="I22" s="7">
        <v>10.1</v>
      </c>
      <c r="J22" s="8">
        <v>0.85</v>
      </c>
    </row>
    <row r="23" spans="2:10" ht="13.5" thickBot="1">
      <c r="B23" s="459"/>
      <c r="C23" s="6" t="s">
        <v>8</v>
      </c>
      <c r="D23" s="7">
        <v>0.9</v>
      </c>
      <c r="E23" s="7">
        <v>0.8</v>
      </c>
      <c r="F23" s="7">
        <v>1.9</v>
      </c>
      <c r="G23" s="7">
        <v>1.5</v>
      </c>
      <c r="H23" s="7">
        <v>2.8</v>
      </c>
      <c r="I23" s="7">
        <v>2.4</v>
      </c>
      <c r="J23" s="8">
        <v>0.85</v>
      </c>
    </row>
    <row r="24" spans="2:10" ht="13.5" thickBot="1">
      <c r="B24" s="459"/>
      <c r="C24" s="6" t="s">
        <v>7</v>
      </c>
      <c r="D24" s="7">
        <v>4.2</v>
      </c>
      <c r="E24" s="7">
        <v>4.0999999999999996</v>
      </c>
      <c r="F24" s="7">
        <v>8</v>
      </c>
      <c r="G24" s="7">
        <v>5.6</v>
      </c>
      <c r="H24" s="7">
        <v>12.2</v>
      </c>
      <c r="I24" s="7">
        <v>9.6999999999999993</v>
      </c>
      <c r="J24" s="8">
        <v>0.8</v>
      </c>
    </row>
    <row r="25" spans="2:10" ht="13.5" thickBot="1">
      <c r="B25" s="460"/>
      <c r="C25" s="6" t="s">
        <v>52</v>
      </c>
      <c r="D25" s="7" t="s">
        <v>53</v>
      </c>
      <c r="E25" s="7" t="s">
        <v>53</v>
      </c>
      <c r="F25" s="7" t="s">
        <v>53</v>
      </c>
      <c r="G25" s="7" t="s">
        <v>53</v>
      </c>
      <c r="H25" s="7" t="s">
        <v>53</v>
      </c>
      <c r="I25" s="7" t="s">
        <v>53</v>
      </c>
      <c r="J25" s="7" t="s">
        <v>53</v>
      </c>
    </row>
    <row r="27" spans="2:10" ht="16.5" thickBot="1">
      <c r="B27" s="10" t="s">
        <v>55</v>
      </c>
    </row>
    <row r="28" spans="2:10" ht="13.5" thickBot="1">
      <c r="B28" s="461" t="s">
        <v>45</v>
      </c>
      <c r="C28" s="461" t="s">
        <v>46</v>
      </c>
      <c r="D28" s="463" t="s">
        <v>47</v>
      </c>
      <c r="E28" s="465"/>
      <c r="F28" s="463" t="s">
        <v>48</v>
      </c>
      <c r="G28" s="465"/>
      <c r="H28" s="463" t="s">
        <v>13</v>
      </c>
      <c r="I28" s="464"/>
      <c r="J28" s="465"/>
    </row>
    <row r="29" spans="2:10" ht="26.25" thickBot="1">
      <c r="B29" s="462"/>
      <c r="C29" s="462"/>
      <c r="D29" s="5" t="s">
        <v>49</v>
      </c>
      <c r="E29" s="5" t="s">
        <v>50</v>
      </c>
      <c r="F29" s="5" t="s">
        <v>49</v>
      </c>
      <c r="G29" s="5" t="s">
        <v>50</v>
      </c>
      <c r="H29" s="5" t="s">
        <v>49</v>
      </c>
      <c r="I29" s="5" t="s">
        <v>50</v>
      </c>
      <c r="J29" s="5" t="s">
        <v>51</v>
      </c>
    </row>
    <row r="30" spans="2:10" ht="13.5" thickBot="1">
      <c r="B30" s="458">
        <v>2006</v>
      </c>
      <c r="C30" s="6" t="s">
        <v>3</v>
      </c>
      <c r="D30" s="7">
        <v>0.6</v>
      </c>
      <c r="E30" s="7">
        <v>0.6</v>
      </c>
      <c r="F30" s="7">
        <v>0.4</v>
      </c>
      <c r="G30" s="7">
        <v>0.4</v>
      </c>
      <c r="H30" s="7">
        <v>0.9</v>
      </c>
      <c r="I30" s="7">
        <v>1</v>
      </c>
      <c r="J30" s="8">
        <v>0.96</v>
      </c>
    </row>
    <row r="31" spans="2:10" ht="13.5" thickBot="1">
      <c r="B31" s="459"/>
      <c r="C31" s="6" t="s">
        <v>8</v>
      </c>
      <c r="D31" s="7">
        <v>0.1</v>
      </c>
      <c r="E31" s="7">
        <v>0.1</v>
      </c>
      <c r="F31" s="7">
        <v>0</v>
      </c>
      <c r="G31" s="7">
        <v>0</v>
      </c>
      <c r="H31" s="7">
        <v>0.1</v>
      </c>
      <c r="I31" s="7">
        <v>0.1</v>
      </c>
      <c r="J31" s="8">
        <v>0.96</v>
      </c>
    </row>
    <row r="32" spans="2:10" ht="13.5" thickBot="1">
      <c r="B32" s="459"/>
      <c r="C32" s="6" t="s">
        <v>7</v>
      </c>
      <c r="D32" s="7" t="s">
        <v>53</v>
      </c>
      <c r="E32" s="7" t="s">
        <v>53</v>
      </c>
      <c r="F32" s="7" t="s">
        <v>53</v>
      </c>
      <c r="G32" s="7" t="s">
        <v>53</v>
      </c>
      <c r="H32" s="7" t="s">
        <v>53</v>
      </c>
      <c r="I32" s="7" t="s">
        <v>53</v>
      </c>
      <c r="J32" s="7" t="s">
        <v>53</v>
      </c>
    </row>
    <row r="33" spans="2:10" ht="13.5" thickBot="1">
      <c r="B33" s="460"/>
      <c r="C33" s="6" t="s">
        <v>52</v>
      </c>
      <c r="D33" s="7">
        <v>0.9</v>
      </c>
      <c r="E33" s="7">
        <v>0.9</v>
      </c>
      <c r="F33" s="7">
        <v>0.6</v>
      </c>
      <c r="G33" s="7">
        <v>0.7</v>
      </c>
      <c r="H33" s="7">
        <v>1.5</v>
      </c>
      <c r="I33" s="7">
        <v>1.6</v>
      </c>
      <c r="J33" s="8">
        <v>1.05</v>
      </c>
    </row>
    <row r="34" spans="2:10" ht="13.5" thickBot="1">
      <c r="B34" s="458">
        <v>2007</v>
      </c>
      <c r="C34" s="6" t="s">
        <v>3</v>
      </c>
      <c r="D34" s="7">
        <v>0.5</v>
      </c>
      <c r="E34" s="7">
        <v>0.5</v>
      </c>
      <c r="F34" s="7">
        <v>0.3</v>
      </c>
      <c r="G34" s="7">
        <v>0.4</v>
      </c>
      <c r="H34" s="7">
        <v>0.8</v>
      </c>
      <c r="I34" s="7">
        <v>0.9</v>
      </c>
      <c r="J34" s="8">
        <v>1.0900000000000001</v>
      </c>
    </row>
    <row r="35" spans="2:10" ht="13.5" thickBot="1">
      <c r="B35" s="459"/>
      <c r="C35" s="6" t="s">
        <v>8</v>
      </c>
      <c r="D35" s="7">
        <v>0.1</v>
      </c>
      <c r="E35" s="7">
        <v>0.1</v>
      </c>
      <c r="F35" s="7">
        <v>0</v>
      </c>
      <c r="G35" s="7">
        <v>0</v>
      </c>
      <c r="H35" s="7">
        <v>0.1</v>
      </c>
      <c r="I35" s="7">
        <v>0.1</v>
      </c>
      <c r="J35" s="8">
        <v>1.0900000000000001</v>
      </c>
    </row>
    <row r="36" spans="2:10" ht="13.5" thickBot="1">
      <c r="B36" s="459"/>
      <c r="C36" s="6" t="s">
        <v>7</v>
      </c>
      <c r="D36" s="7" t="s">
        <v>53</v>
      </c>
      <c r="E36" s="7" t="s">
        <v>53</v>
      </c>
      <c r="F36" s="7" t="s">
        <v>53</v>
      </c>
      <c r="G36" s="7" t="s">
        <v>53</v>
      </c>
      <c r="H36" s="7" t="s">
        <v>53</v>
      </c>
      <c r="I36" s="7" t="s">
        <v>53</v>
      </c>
      <c r="J36" s="7" t="s">
        <v>53</v>
      </c>
    </row>
    <row r="37" spans="2:10" ht="13.5" thickBot="1">
      <c r="B37" s="460"/>
      <c r="C37" s="6" t="s">
        <v>52</v>
      </c>
      <c r="D37" s="7">
        <v>0.8</v>
      </c>
      <c r="E37" s="7">
        <v>0.8</v>
      </c>
      <c r="F37" s="7">
        <v>0.5</v>
      </c>
      <c r="G37" s="7">
        <v>0.7</v>
      </c>
      <c r="H37" s="7">
        <v>1.3</v>
      </c>
      <c r="I37" s="7">
        <v>1.5</v>
      </c>
      <c r="J37" s="8">
        <v>1.0900000000000001</v>
      </c>
    </row>
  </sheetData>
  <sheetProtection password="F6A8" sheet="1" objects="1" scenarios="1"/>
  <mergeCells count="21">
    <mergeCell ref="C4:C5"/>
    <mergeCell ref="C16:C17"/>
    <mergeCell ref="D4:E4"/>
    <mergeCell ref="H4:J4"/>
    <mergeCell ref="F16:G16"/>
    <mergeCell ref="H16:J16"/>
    <mergeCell ref="D16:E16"/>
    <mergeCell ref="F4:G4"/>
    <mergeCell ref="B34:B37"/>
    <mergeCell ref="B18:B21"/>
    <mergeCell ref="B22:B25"/>
    <mergeCell ref="B28:B29"/>
    <mergeCell ref="H28:J28"/>
    <mergeCell ref="C28:C29"/>
    <mergeCell ref="D28:E28"/>
    <mergeCell ref="F28:G28"/>
    <mergeCell ref="B6:B9"/>
    <mergeCell ref="B4:B5"/>
    <mergeCell ref="B10:B13"/>
    <mergeCell ref="B16:B17"/>
    <mergeCell ref="B30:B33"/>
  </mergeCells>
  <phoneticPr fontId="6"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5</vt:i4>
      </vt:variant>
    </vt:vector>
  </HeadingPairs>
  <TitlesOfParts>
    <vt:vector size="18" baseType="lpstr">
      <vt:lpstr>RRM Calculator</vt:lpstr>
      <vt:lpstr>ERT Summary</vt:lpstr>
      <vt:lpstr>PGEAdj</vt:lpstr>
      <vt:lpstr>SCEAdj</vt:lpstr>
      <vt:lpstr>SDGEAdj</vt:lpstr>
      <vt:lpstr>SoCalGasAdj</vt:lpstr>
      <vt:lpstr>04-05 EE Tables</vt:lpstr>
      <vt:lpstr>04-09 LIEE Tables</vt:lpstr>
      <vt:lpstr>Pre-06 C&amp;S Tables</vt:lpstr>
      <vt:lpstr>C&amp;S2006-09</vt:lpstr>
      <vt:lpstr>Savings Goals D.04-09-060</vt:lpstr>
      <vt:lpstr>Authorized Payments</vt:lpstr>
      <vt:lpstr>log</vt:lpstr>
      <vt:lpstr>'Pre-06 C&amp;S Tables'!_Ref208203696</vt:lpstr>
      <vt:lpstr>'Pre-06 C&amp;S Tables'!_Ref208203787</vt:lpstr>
      <vt:lpstr>'Pre-06 C&amp;S Tables'!_Ref208203813</vt:lpstr>
      <vt:lpstr>'ERT Summary'!Print_Area</vt:lpstr>
      <vt:lpstr>'RRM Calculator'!Print_Area</vt:lpstr>
    </vt:vector>
  </TitlesOfParts>
  <Company>cpuc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Jeorge</dc:creator>
  <cp:lastModifiedBy>lmansi</cp:lastModifiedBy>
  <dcterms:created xsi:type="dcterms:W3CDTF">2008-05-02T20:12:27Z</dcterms:created>
  <dcterms:modified xsi:type="dcterms:W3CDTF">2011-06-28T00:38:12Z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_NewReviewCycle">
    <vt:lpwstr/>
  </property>
</Properties>
</file>