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709"/>
  <workbookPr showInkAnnotation="0" autoCompressPictures="0"/>
  <workbookProtection workbookPassword="FE11" lockStructure="1"/>
  <bookViews>
    <workbookView xWindow="0" yWindow="0" windowWidth="20460" windowHeight="7380" activeTab="1"/>
  </bookViews>
  <sheets>
    <sheet name="2015 Proof of Project Milestone" sheetId="1" r:id="rId1"/>
    <sheet name="Export to Grid Calculation" sheetId="2" r:id="rId2"/>
    <sheet name="Data" sheetId="4" state="hidden" r:id="rId3"/>
  </sheets>
  <definedNames>
    <definedName name="_xlnm._FilterDatabase" localSheetId="0" hidden="1">'2015 Proof of Project Milestone'!#REF!</definedName>
    <definedName name="AES">Data!$H$13:$H$14</definedName>
    <definedName name="CUSTOMER_TYPE">Data!$B$3:$B$7</definedName>
    <definedName name="FUEL_SOURCE">Data!$O$3:$O$5</definedName>
    <definedName name="FUEL_TYPE">Data!$L$3:$L$11</definedName>
    <definedName name="GENERATION_TYPE">Data!$H$3:$H$12</definedName>
    <definedName name="OTHER_INCENTIVE_TYPES">Data!$D$3:$D$6</definedName>
    <definedName name="PreviousSGIP">'2015 Proof of Project Milestone'!#REF!</definedName>
    <definedName name="_xlnm.Print_Area" localSheetId="0">'2015 Proof of Project Milestone'!$A$1:$G$105</definedName>
    <definedName name="_xlnm.Print_Area" localSheetId="1">'Export to Grid Calculation'!$A$1:$H$47</definedName>
    <definedName name="TECHNOLOGY_TYPE">Data!$W$3:$W$13</definedName>
    <definedName name="UTILITY">Data!$F$3:$F$8</definedName>
    <definedName name="YES_NO_OPTION">Data!$Z$3:$Z$5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25" i="1" l="1"/>
  <c r="E25" i="1"/>
  <c r="A44" i="1"/>
  <c r="D3" i="1"/>
  <c r="B46" i="1"/>
  <c r="C46" i="1"/>
  <c r="D46" i="1"/>
  <c r="C19" i="2"/>
  <c r="D19" i="2"/>
  <c r="E19" i="2"/>
  <c r="C8" i="2"/>
  <c r="D8" i="2"/>
  <c r="E8" i="2"/>
  <c r="B56" i="1"/>
  <c r="C56" i="1"/>
  <c r="D56" i="1"/>
  <c r="B25" i="1"/>
  <c r="F29" i="2"/>
  <c r="E66" i="1"/>
  <c r="G66" i="1"/>
  <c r="E53" i="1"/>
  <c r="E80" i="1"/>
  <c r="C25" i="1"/>
  <c r="F43" i="2"/>
  <c r="G33" i="2"/>
  <c r="F33" i="2"/>
  <c r="G31" i="2"/>
  <c r="H29" i="2"/>
  <c r="F70" i="1"/>
  <c r="E70" i="1"/>
  <c r="F68" i="1"/>
  <c r="G32" i="1"/>
  <c r="G31" i="1"/>
  <c r="G33" i="1"/>
  <c r="F34" i="1"/>
  <c r="C10" i="2"/>
  <c r="D10" i="2"/>
  <c r="E10" i="2"/>
  <c r="B48" i="1"/>
  <c r="F15" i="2"/>
  <c r="G34" i="1"/>
  <c r="B47" i="1"/>
  <c r="B57" i="1"/>
  <c r="C48" i="1"/>
  <c r="D48" i="1"/>
  <c r="E43" i="1"/>
  <c r="F67" i="1"/>
  <c r="G30" i="2"/>
  <c r="C47" i="1"/>
  <c r="B51" i="1"/>
  <c r="B52" i="1"/>
  <c r="B59" i="1"/>
  <c r="E48" i="1"/>
  <c r="F10" i="2"/>
  <c r="B49" i="1"/>
  <c r="D47" i="1"/>
  <c r="D57" i="1"/>
  <c r="C57" i="1"/>
  <c r="C59" i="1"/>
  <c r="C49" i="1"/>
  <c r="C51" i="1"/>
  <c r="C52" i="1"/>
  <c r="E57" i="1"/>
  <c r="D51" i="1"/>
  <c r="D52" i="1"/>
  <c r="D49" i="1"/>
  <c r="E49" i="1"/>
  <c r="E47" i="1"/>
  <c r="E81" i="1"/>
  <c r="F4" i="2"/>
  <c r="D59" i="1"/>
  <c r="E51" i="1"/>
  <c r="C9" i="2"/>
  <c r="E52" i="1"/>
  <c r="C66" i="1"/>
  <c r="C68" i="1"/>
  <c r="B49" i="2"/>
  <c r="E59" i="1"/>
  <c r="C11" i="2"/>
  <c r="C20" i="2"/>
  <c r="C22" i="2"/>
  <c r="E54" i="1"/>
  <c r="D9" i="2"/>
  <c r="D20" i="2"/>
  <c r="C13" i="2"/>
  <c r="D67" i="1"/>
  <c r="G67" i="1"/>
  <c r="D11" i="2"/>
  <c r="E9" i="2"/>
  <c r="D13" i="2"/>
  <c r="D14" i="2"/>
  <c r="D22" i="2"/>
  <c r="C14" i="2"/>
  <c r="G68" i="1"/>
  <c r="E13" i="2"/>
  <c r="E14" i="2"/>
  <c r="E20" i="2"/>
  <c r="E22" i="2"/>
  <c r="F22" i="2"/>
  <c r="E30" i="2"/>
  <c r="F9" i="2"/>
  <c r="E11" i="2"/>
  <c r="F11" i="2"/>
  <c r="F13" i="2"/>
  <c r="C69" i="1"/>
  <c r="E60" i="1"/>
  <c r="E61" i="1"/>
  <c r="H30" i="2"/>
  <c r="F23" i="2"/>
  <c r="F24" i="2"/>
  <c r="F14" i="2"/>
  <c r="D29" i="2"/>
  <c r="F20" i="2"/>
  <c r="F16" i="2"/>
  <c r="F26" i="2"/>
  <c r="D31" i="2"/>
  <c r="H31" i="2"/>
  <c r="D32" i="2"/>
  <c r="D69" i="1"/>
  <c r="E32" i="2"/>
  <c r="E63" i="1"/>
  <c r="E33" i="2"/>
  <c r="H32" i="2"/>
  <c r="D70" i="1"/>
  <c r="G69" i="1"/>
  <c r="D33" i="2"/>
  <c r="H33" i="2"/>
  <c r="F34" i="2"/>
  <c r="F36" i="2"/>
  <c r="F44" i="2"/>
  <c r="F45" i="2"/>
  <c r="C70" i="1"/>
  <c r="F46" i="2"/>
  <c r="F47" i="2"/>
  <c r="G70" i="1"/>
  <c r="E71" i="1"/>
  <c r="E73" i="1"/>
  <c r="E82" i="1"/>
  <c r="E83" i="1"/>
  <c r="E86" i="1"/>
  <c r="E84" i="1"/>
  <c r="E85" i="1"/>
</calcChain>
</file>

<file path=xl/sharedStrings.xml><?xml version="1.0" encoding="utf-8"?>
<sst xmlns="http://schemas.openxmlformats.org/spreadsheetml/2006/main" count="268" uniqueCount="172">
  <si>
    <t>Pressure Reduction Turbine</t>
  </si>
  <si>
    <t>Waste Heat to Power</t>
  </si>
  <si>
    <t>Wind Turbine</t>
  </si>
  <si>
    <t>Advanced Energy Storage</t>
  </si>
  <si>
    <t>Internal Combustion Engine</t>
  </si>
  <si>
    <t>Microturbine</t>
  </si>
  <si>
    <t>Gas Turbine</t>
  </si>
  <si>
    <t>Entity Name</t>
  </si>
  <si>
    <t>Contact</t>
  </si>
  <si>
    <t>Parent Company</t>
  </si>
  <si>
    <t>Phone</t>
  </si>
  <si>
    <t>Email</t>
  </si>
  <si>
    <t>Commercial</t>
  </si>
  <si>
    <t>Residential</t>
  </si>
  <si>
    <t>Government</t>
  </si>
  <si>
    <t>Non-profit</t>
  </si>
  <si>
    <t>---------------</t>
  </si>
  <si>
    <t>Sector</t>
  </si>
  <si>
    <t>City</t>
  </si>
  <si>
    <t>Zip Code</t>
  </si>
  <si>
    <t>State</t>
  </si>
  <si>
    <t>Address</t>
  </si>
  <si>
    <t>NAICS Code</t>
  </si>
  <si>
    <t>Fuel Cell CHP</t>
  </si>
  <si>
    <t>Fuel Cell Electric</t>
  </si>
  <si>
    <t>Technology</t>
  </si>
  <si>
    <t>Fuel Type</t>
  </si>
  <si>
    <t>------</t>
  </si>
  <si>
    <t>Digester Gas</t>
  </si>
  <si>
    <t>Landfill Gas</t>
  </si>
  <si>
    <t>Natural Gas</t>
  </si>
  <si>
    <t>Propane</t>
  </si>
  <si>
    <t>Waste Gas</t>
  </si>
  <si>
    <t>Biogas Source</t>
  </si>
  <si>
    <t>Directed</t>
  </si>
  <si>
    <t>On-site</t>
  </si>
  <si>
    <t>HOST CUSTOMER</t>
  </si>
  <si>
    <t>SYSTEM OWNER (if not Host Customer)</t>
  </si>
  <si>
    <t>APPLICANT (if not Host Customer)</t>
  </si>
  <si>
    <t>PROJECT SITE</t>
  </si>
  <si>
    <t>Peak Annual Demand (kW)</t>
  </si>
  <si>
    <t>Yearly Consumption (kWh)</t>
  </si>
  <si>
    <t>Manufacturer</t>
  </si>
  <si>
    <t>Equipment Model</t>
  </si>
  <si>
    <t>Quantity</t>
  </si>
  <si>
    <t>TOTAL</t>
  </si>
  <si>
    <t>TECHNOLOGY TYPES</t>
  </si>
  <si>
    <t>CA SUPPLIER</t>
  </si>
  <si>
    <t>YES</t>
  </si>
  <si>
    <t>NO</t>
  </si>
  <si>
    <t>0-1MW</t>
  </si>
  <si>
    <t>1-2MW</t>
  </si>
  <si>
    <t>capacity factor</t>
  </si>
  <si>
    <t>CF</t>
  </si>
  <si>
    <t>Performanced Based Incentive Calculation</t>
  </si>
  <si>
    <t>expected annual PBI payment</t>
  </si>
  <si>
    <t>BIOGAS ADDER INCENTIVE CALCULATION</t>
  </si>
  <si>
    <t>IOU Ratepayer</t>
  </si>
  <si>
    <t>Non-IOU Ratepayer</t>
  </si>
  <si>
    <t>---</t>
  </si>
  <si>
    <t>Non-Ratepayer</t>
  </si>
  <si>
    <t>Incentive Adjustment</t>
  </si>
  <si>
    <t>Project Incentive Cap (Equipment and Biogas)</t>
  </si>
  <si>
    <t>Eligible Cost Cap (All Incentives)</t>
  </si>
  <si>
    <t>SUBTOTAL</t>
  </si>
  <si>
    <t>CA ADDER</t>
  </si>
  <si>
    <t>EQUIPMENT INCENTIVE</t>
  </si>
  <si>
    <t>EQUIPMENT INCENTIVE CALCULATION</t>
  </si>
  <si>
    <t xml:space="preserve">2-3MW </t>
  </si>
  <si>
    <t>EQUIP + BIOGAS</t>
  </si>
  <si>
    <t>SGIP Contribution Cap (Equipment Only)</t>
  </si>
  <si>
    <t>PROJECT FINANCE</t>
  </si>
  <si>
    <t>Projected PBI Calculation</t>
  </si>
  <si>
    <t>ITC as (%) of TEPC</t>
  </si>
  <si>
    <t>Eligible CA Manufacturer?</t>
  </si>
  <si>
    <t>Generator System Heat Rate (BTU/kWh)</t>
  </si>
  <si>
    <t>Name</t>
  </si>
  <si>
    <t>Title</t>
  </si>
  <si>
    <t>Date</t>
  </si>
  <si>
    <t>Signature</t>
  </si>
  <si>
    <t>Are you or any affiliated entity taking tax credits for this project?</t>
  </si>
  <si>
    <t>Natural Gas Cost ($/MMBTU)</t>
  </si>
  <si>
    <t>Directed Biogas Fuel Cost ($/MMBtu)</t>
  </si>
  <si>
    <t xml:space="preserve">Equipment Incentive </t>
  </si>
  <si>
    <t xml:space="preserve">Biogas Adder </t>
  </si>
  <si>
    <t>Directed Biogas Cap</t>
  </si>
  <si>
    <t>Cap</t>
  </si>
  <si>
    <t>Equipment + Other Incentive</t>
  </si>
  <si>
    <t>Other Incentive Total</t>
  </si>
  <si>
    <t>BIOGAS ADDER</t>
  </si>
  <si>
    <t>TOTAL INCENTIVE CAP ADJUSTMENTS</t>
  </si>
  <si>
    <t>TOTAL CALCULATED INCENTIVE</t>
  </si>
  <si>
    <t>REQUIRED MATERIALS</t>
  </si>
  <si>
    <t>Adder</t>
  </si>
  <si>
    <t>ESTIMATED LOAD GROWTH (kW)</t>
  </si>
  <si>
    <t>DEMAND REDUCTION OBLIGATION (kW)</t>
  </si>
  <si>
    <t>UTILITY</t>
  </si>
  <si>
    <t>SoCal Gas</t>
  </si>
  <si>
    <t>SoCal Edison</t>
  </si>
  <si>
    <t>Other</t>
  </si>
  <si>
    <t>San Diego Gas and Electric</t>
  </si>
  <si>
    <t>Pacific Gas and Electric</t>
  </si>
  <si>
    <t>Other Incentives</t>
  </si>
  <si>
    <t>INCENTIVE RATE ($/W)</t>
  </si>
  <si>
    <t>ELIGIBLE CAPACITY</t>
  </si>
  <si>
    <t>PROPOSED CAPACITY</t>
  </si>
  <si>
    <t>PREVIOUS CAPACITY</t>
  </si>
  <si>
    <t>PROPOSED + EXISTING</t>
  </si>
  <si>
    <t>Contact Person</t>
  </si>
  <si>
    <t>Company Name</t>
  </si>
  <si>
    <t>PBI Rate ($/kWh)</t>
  </si>
  <si>
    <t>Performance Based Incentive (PBI)</t>
  </si>
  <si>
    <t>PARTICIPANT INFORMATION</t>
  </si>
  <si>
    <t>PROPOSED SYSTEM INFORMATION</t>
  </si>
  <si>
    <t>BIOGAS SUPPLIER INFORMATION</t>
  </si>
  <si>
    <t>Estimated Total Eligible Project Cost (TEPC)</t>
  </si>
  <si>
    <t>Ineligible Cost (if available at this time)</t>
  </si>
  <si>
    <t>Total Incentive</t>
  </si>
  <si>
    <t>Upfront Incentive</t>
  </si>
  <si>
    <t>INCENTIVE CAPS</t>
  </si>
  <si>
    <t>The cap shown below is based on the Total Eligible Project Cost, the Maximum Incentive Cap ($5M) and the Minimum Customer Investment. See the Handbook section on Incentive Limitations to learn more.</t>
  </si>
  <si>
    <t>DIRECTED BIOGAS ADDER ADJUSTMENT</t>
  </si>
  <si>
    <t>ADJUSTMENT (IOU Ratepayer)</t>
  </si>
  <si>
    <t>EXPORT TO GRID CALCULATION OF THE SGIP INCENTIVE</t>
  </si>
  <si>
    <t>Based on the electric consumption at the project site the capacity of the system is:</t>
  </si>
  <si>
    <t>kW</t>
  </si>
  <si>
    <t>Gas derived from biomass</t>
  </si>
  <si>
    <t>Unit Rated Capacity (kW)</t>
  </si>
  <si>
    <t>Capacity (kW)</t>
  </si>
  <si>
    <t>The cap shown above is based on the Total Eligible Project Cost, the Maximum Incentive Cap and the Minimum Customer Investment. 
See the SGIP Handbook for more information on incentive limitations.</t>
  </si>
  <si>
    <t>On site Consumption</t>
  </si>
  <si>
    <t>Generation</t>
  </si>
  <si>
    <t>Storage</t>
  </si>
  <si>
    <t>ADJUSTMENT (Other Incentives)</t>
  </si>
  <si>
    <t>Annual Fuel Consumption (MMBtu/yr)</t>
  </si>
  <si>
    <t>Minimum Customer Investment (Equipment Only)</t>
  </si>
  <si>
    <t>Gasoline</t>
  </si>
  <si>
    <t>Synthetic Fuel</t>
  </si>
  <si>
    <t>Is this an “Export to Grid” project?</t>
  </si>
  <si>
    <t>Expected Total Production (kWh)</t>
  </si>
  <si>
    <t>Initial Payment</t>
  </si>
  <si>
    <t>NA</t>
  </si>
  <si>
    <t>Electric Generating Systems</t>
  </si>
  <si>
    <t>CSLB License Number</t>
  </si>
  <si>
    <t>PERFORMANCE DATA PROVIDER</t>
  </si>
  <si>
    <t>INSTALLER</t>
  </si>
  <si>
    <t>ELECTRIC USE INFORMATION</t>
  </si>
  <si>
    <r>
      <t xml:space="preserve">Proof of Project Milestone Form </t>
    </r>
    <r>
      <rPr>
        <sz val="8"/>
        <rFont val="Calibri"/>
        <family val="2"/>
        <scheme val="minor"/>
      </rPr>
      <t>( All 3-Step Projects)</t>
    </r>
  </si>
  <si>
    <r>
      <t xml:space="preserve">Copy of RFP or equivalent (after 60 days) </t>
    </r>
    <r>
      <rPr>
        <sz val="8"/>
        <rFont val="Calibri"/>
        <family val="2"/>
        <scheme val="minor"/>
      </rPr>
      <t>(Public Entity Projects Only)</t>
    </r>
  </si>
  <si>
    <r>
      <t xml:space="preserve">Copy of Executed Contract or Agreement for Installation </t>
    </r>
    <r>
      <rPr>
        <sz val="8"/>
        <rFont val="Calibri"/>
        <family val="2"/>
        <scheme val="minor"/>
      </rPr>
      <t>(All Projects)  (includes warranty language documentation)</t>
    </r>
  </si>
  <si>
    <r>
      <t xml:space="preserve">Energy Efficiency Audit </t>
    </r>
    <r>
      <rPr>
        <sz val="8"/>
        <rFont val="Calibri"/>
        <family val="2"/>
        <scheme val="minor"/>
      </rPr>
      <t>(All Projects)</t>
    </r>
  </si>
  <si>
    <r>
      <t xml:space="preserve">Proposed Monitoring Plan </t>
    </r>
    <r>
      <rPr>
        <sz val="8"/>
        <rFont val="Calibri"/>
        <family val="2"/>
        <scheme val="minor"/>
      </rPr>
      <t>(All Projects &gt;=30kW)</t>
    </r>
  </si>
  <si>
    <r>
      <t>Air Permit Application</t>
    </r>
    <r>
      <rPr>
        <sz val="8"/>
        <rFont val="Calibri"/>
        <family val="2"/>
        <scheme val="minor"/>
      </rPr>
      <t xml:space="preserve"> (if applicable</t>
    </r>
    <r>
      <rPr>
        <b/>
        <sz val="8"/>
        <rFont val="Calibri"/>
        <family val="2"/>
        <scheme val="minor"/>
      </rPr>
      <t>)</t>
    </r>
  </si>
  <si>
    <r>
      <t xml:space="preserve">Proof of Fuel Contracts and Documentation:
</t>
    </r>
    <r>
      <rPr>
        <sz val="8"/>
        <rFont val="Calibri"/>
        <family val="2"/>
        <scheme val="minor"/>
      </rPr>
      <t xml:space="preserve"> - Renewable Fuel Contract
 - Directed Biogas Renewable Fuel Attestaion - System Owner &amp; Fuel Supplier (Directed)
 - Gas Injection Qualification (Directed)
 - Renewable Fuel Affidavit (On-site)
 - Fuel Clean-up (On-site)
 - Waste Gas Fuel Affidavit (Waste Gas Only)</t>
    </r>
  </si>
  <si>
    <t>PROJECT ID:</t>
  </si>
  <si>
    <r>
      <t xml:space="preserve">INSTRUCTIONS: If there is an existing on-site electric generation and/or storage system </t>
    </r>
    <r>
      <rPr>
        <b/>
        <sz val="9"/>
        <color rgb="FFFF0000"/>
        <rFont val="Calibri"/>
        <family val="2"/>
        <scheme val="minor"/>
      </rPr>
      <t xml:space="preserve">that has or will receive an SGIP incentive and has not met the permanency requirement, </t>
    </r>
    <r>
      <rPr>
        <b/>
        <sz val="9"/>
        <rFont val="Calibri"/>
        <family val="2"/>
        <scheme val="minor"/>
      </rPr>
      <t xml:space="preserve">please enter it below. </t>
    </r>
  </si>
  <si>
    <t>By signing I certify that the information provided is true, accurate and complete.</t>
  </si>
  <si>
    <t>SYSTEM TYPE</t>
  </si>
  <si>
    <t>SYSTEM CAPACITY (kW)</t>
  </si>
  <si>
    <t>EXISTING ONSITE SYSTEMS INFORMATION</t>
  </si>
  <si>
    <t xml:space="preserve">Please confirm you are using the most recent Proof of Project Milestone Form by verifying the version number and date above and going to your Program Administrator’s website to confirm.   Please fill out this form completely and include any updated project information. You must include all required materials with your submittal. </t>
  </si>
  <si>
    <t>CUSTOMER_TYPE</t>
  </si>
  <si>
    <t>OTHER_INCENTIVE_TYPES</t>
  </si>
  <si>
    <t>FUEL_TYPE</t>
  </si>
  <si>
    <t>FUEL_SOURCE</t>
  </si>
  <si>
    <t xml:space="preserve">TECHNOLOGY_TYPE </t>
  </si>
  <si>
    <t>YES_NO_OPTION</t>
  </si>
  <si>
    <t>Steam Turbine</t>
  </si>
  <si>
    <t>Enter existing photovoltaic system below.</t>
  </si>
  <si>
    <t>Existing PV On-site?</t>
  </si>
  <si>
    <t>PV System Size (kW CEC-AC)</t>
  </si>
  <si>
    <t>CSI Project ID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</si>
</sst>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4" formatCode="_(&quot;$&quot;* #,##0.00_);_(&quot;$&quot;* \(#,##0.00\);_(&quot;$&quot;* &quot;-&quot;??_);_(@_)"/>
    <numFmt numFmtId="164" formatCode="&quot;$&quot;#,##0.00"/>
    <numFmt numFmtId="165" formatCode="&quot;$&quot;#,##0"/>
    <numFmt numFmtId="166" formatCode="[&lt;=9999999]###\-####;\(###\)\ ###\-####"/>
    <numFmt numFmtId="167" formatCode="&quot;$&quot;#,##0.0"/>
    <numFmt numFmtId="168" formatCode="&quot;$&quot;#,##0.0000"/>
  </numFmts>
  <fonts count="30" x14ac:knownFonts="1">
    <font>
      <sz val="11"/>
      <color theme="1"/>
      <name val="Calibri"/>
      <family val="2"/>
      <scheme val="minor"/>
    </font>
    <font>
      <b/>
      <sz val="8"/>
      <color theme="1"/>
      <name val="Calibri"/>
      <family val="2"/>
      <scheme val="minor"/>
    </font>
    <font>
      <sz val="8"/>
      <color theme="2"/>
      <name val="Calibri"/>
      <family val="2"/>
      <scheme val="minor"/>
    </font>
    <font>
      <b/>
      <sz val="8"/>
      <color theme="2"/>
      <name val="Calibri"/>
      <family val="2"/>
      <scheme val="minor"/>
    </font>
    <font>
      <sz val="8"/>
      <color theme="3" tint="-0.249977111117893"/>
      <name val="Calibri"/>
      <family val="2"/>
      <scheme val="minor"/>
    </font>
    <font>
      <b/>
      <sz val="8"/>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8"/>
      <color theme="1"/>
      <name val="Calibri"/>
      <family val="2"/>
      <scheme val="minor"/>
    </font>
    <font>
      <sz val="8"/>
      <name val="Calibri"/>
      <family val="2"/>
      <scheme val="minor"/>
    </font>
    <font>
      <u/>
      <sz val="8"/>
      <color theme="10"/>
      <name val="Calibri"/>
      <family val="2"/>
      <scheme val="minor"/>
    </font>
    <font>
      <b/>
      <sz val="8"/>
      <color theme="3" tint="-0.499984740745262"/>
      <name val="Calibri"/>
      <family val="2"/>
      <scheme val="minor"/>
    </font>
    <font>
      <sz val="8"/>
      <color theme="2" tint="-0.249977111117893"/>
      <name val="Calibri"/>
      <family val="2"/>
      <scheme val="minor"/>
    </font>
    <font>
      <b/>
      <sz val="12"/>
      <name val="Calibri"/>
      <family val="2"/>
      <scheme val="minor"/>
    </font>
    <font>
      <b/>
      <sz val="10"/>
      <name val="Calibri"/>
      <family val="2"/>
      <scheme val="minor"/>
    </font>
    <font>
      <b/>
      <sz val="9"/>
      <name val="Calibri"/>
      <family val="2"/>
      <scheme val="minor"/>
    </font>
    <font>
      <b/>
      <sz val="14"/>
      <color theme="3" tint="-0.499984740745262"/>
      <name val="Calibri"/>
      <family val="2"/>
      <scheme val="minor"/>
    </font>
    <font>
      <sz val="8"/>
      <color theme="0" tint="-0.499984740745262"/>
      <name val="Calibri"/>
      <family val="2"/>
      <scheme val="minor"/>
    </font>
    <font>
      <sz val="9"/>
      <name val="Calibri"/>
      <family val="2"/>
      <scheme val="minor"/>
    </font>
    <font>
      <b/>
      <sz val="12"/>
      <color rgb="FFFF0000"/>
      <name val="Calibri"/>
      <family val="2"/>
      <scheme val="minor"/>
    </font>
    <font>
      <sz val="8"/>
      <color rgb="FFFF0000"/>
      <name val="Calibri"/>
      <family val="2"/>
      <scheme val="minor"/>
    </font>
    <font>
      <sz val="8"/>
      <color theme="6" tint="-0.249977111117893"/>
      <name val="Calibri"/>
      <family val="2"/>
      <scheme val="minor"/>
    </font>
    <font>
      <b/>
      <sz val="16"/>
      <color theme="1"/>
      <name val="Calibri"/>
      <family val="2"/>
      <scheme val="minor"/>
    </font>
    <font>
      <sz val="12"/>
      <color theme="1"/>
      <name val="Calibri"/>
      <family val="2"/>
      <scheme val="minor"/>
    </font>
    <font>
      <sz val="10"/>
      <name val="Arial"/>
      <family val="2"/>
    </font>
    <font>
      <b/>
      <sz val="9"/>
      <color rgb="FFFF0000"/>
      <name val="Calibri"/>
      <family val="2"/>
      <scheme val="minor"/>
    </font>
    <font>
      <b/>
      <sz val="11"/>
      <color theme="1"/>
      <name val="Calibri"/>
      <family val="2"/>
      <scheme val="minor"/>
    </font>
    <font>
      <sz val="12"/>
      <color theme="3" tint="-0.249977111117893"/>
      <name val="Calibri"/>
      <family val="2"/>
      <scheme val="minor"/>
    </font>
    <font>
      <sz val="9"/>
      <color theme="1"/>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1" tint="0.34998626667073579"/>
        <bgColor indexed="64"/>
      </patternFill>
    </fill>
    <fill>
      <patternFill patternType="solid">
        <fgColor rgb="FFFFC000"/>
        <bgColor indexed="64"/>
      </patternFill>
    </fill>
    <fill>
      <patternFill patternType="gray125">
        <bgColor theme="0"/>
      </patternFill>
    </fill>
    <fill>
      <patternFill patternType="lightDown"/>
    </fill>
    <fill>
      <patternFill patternType="solid">
        <fgColor theme="4" tint="0.59999389629810485"/>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4.9989318521683403E-2"/>
        <bgColor indexed="64"/>
      </patternFill>
    </fill>
  </fills>
  <borders count="5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style="double">
        <color auto="1"/>
      </left>
      <right style="thin">
        <color auto="1"/>
      </right>
      <top style="thin">
        <color auto="1"/>
      </top>
      <bottom style="thin">
        <color auto="1"/>
      </bottom>
      <diagonal/>
    </border>
    <border>
      <left style="hair">
        <color auto="1"/>
      </left>
      <right/>
      <top/>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bottom/>
      <diagonal/>
    </border>
    <border>
      <left/>
      <right style="hair">
        <color auto="1"/>
      </right>
      <top style="hair">
        <color auto="1"/>
      </top>
      <bottom/>
      <diagonal/>
    </border>
    <border>
      <left style="hair">
        <color auto="1"/>
      </left>
      <right style="hair">
        <color auto="1"/>
      </right>
      <top/>
      <bottom style="thin">
        <color auto="1"/>
      </bottom>
      <diagonal/>
    </border>
    <border>
      <left style="hair">
        <color auto="1"/>
      </left>
      <right style="hair">
        <color auto="1"/>
      </right>
      <top/>
      <bottom/>
      <diagonal/>
    </border>
    <border>
      <left style="hair">
        <color auto="1"/>
      </left>
      <right style="thin">
        <color auto="1"/>
      </right>
      <top style="thin">
        <color auto="1"/>
      </top>
      <bottom style="hair">
        <color auto="1"/>
      </bottom>
      <diagonal/>
    </border>
    <border>
      <left style="hair">
        <color auto="1"/>
      </left>
      <right style="thin">
        <color auto="1"/>
      </right>
      <top style="thin">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right style="hair">
        <color auto="1"/>
      </right>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right style="hair">
        <color auto="1"/>
      </right>
      <top style="thin">
        <color auto="1"/>
      </top>
      <bottom style="thin">
        <color auto="1"/>
      </bottom>
      <diagonal/>
    </border>
    <border>
      <left style="double">
        <color auto="1"/>
      </left>
      <right/>
      <top style="thin">
        <color auto="1"/>
      </top>
      <bottom/>
      <diagonal/>
    </border>
    <border>
      <left style="thin">
        <color auto="1"/>
      </left>
      <right style="hair">
        <color auto="1"/>
      </right>
      <top style="hair">
        <color auto="1"/>
      </top>
      <bottom style="hair">
        <color auto="1"/>
      </bottom>
      <diagonal/>
    </border>
    <border>
      <left/>
      <right style="hair">
        <color auto="1"/>
      </right>
      <top style="hair">
        <color auto="1"/>
      </top>
      <bottom style="thin">
        <color auto="1"/>
      </bottom>
      <diagonal/>
    </border>
  </borders>
  <cellStyleXfs count="4">
    <xf numFmtId="0" fontId="0" fillId="0" borderId="0"/>
    <xf numFmtId="0" fontId="11" fillId="0" borderId="0" applyNumberFormat="0" applyFill="0" applyBorder="0" applyAlignment="0" applyProtection="0"/>
    <xf numFmtId="44" fontId="8" fillId="0" borderId="0" applyFont="0" applyFill="0" applyBorder="0" applyAlignment="0" applyProtection="0"/>
    <xf numFmtId="44" fontId="25" fillId="0" borderId="0" applyFont="0" applyFill="0" applyBorder="0" applyAlignment="0" applyProtection="0"/>
  </cellStyleXfs>
  <cellXfs count="390">
    <xf numFmtId="0" fontId="0" fillId="0" borderId="0" xfId="0"/>
    <xf numFmtId="0" fontId="9" fillId="0" borderId="0" xfId="0" applyFont="1" applyAlignment="1">
      <alignment vertical="center" wrapText="1"/>
    </xf>
    <xf numFmtId="0" fontId="3" fillId="3" borderId="1" xfId="0" applyFont="1" applyFill="1" applyBorder="1" applyAlignment="1">
      <alignment horizontal="right" vertical="center" wrapText="1"/>
    </xf>
    <xf numFmtId="0" fontId="4" fillId="0" borderId="0" xfId="0" applyFont="1" applyFill="1" applyBorder="1" applyAlignment="1">
      <alignment horizontal="center" vertical="center" wrapText="1"/>
    </xf>
    <xf numFmtId="0" fontId="3" fillId="3" borderId="2" xfId="0" applyFont="1" applyFill="1" applyBorder="1" applyAlignment="1">
      <alignment horizontal="righ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164" fontId="1" fillId="3" borderId="13" xfId="0" applyNumberFormat="1" applyFont="1" applyFill="1" applyBorder="1" applyAlignment="1">
      <alignment horizontal="right" vertical="center" wrapText="1"/>
    </xf>
    <xf numFmtId="1" fontId="3" fillId="3" borderId="2" xfId="0" applyNumberFormat="1" applyFont="1" applyFill="1" applyBorder="1" applyAlignment="1">
      <alignment horizontal="right" vertical="center" wrapText="1"/>
    </xf>
    <xf numFmtId="164" fontId="3" fillId="3" borderId="2" xfId="0" applyNumberFormat="1" applyFont="1" applyFill="1" applyBorder="1" applyAlignment="1">
      <alignment horizontal="right" vertical="center" wrapTex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164" fontId="9" fillId="0" borderId="2" xfId="0" applyNumberFormat="1" applyFont="1" applyBorder="1" applyAlignment="1">
      <alignment horizontal="center" vertical="center" wrapText="1"/>
    </xf>
    <xf numFmtId="165" fontId="9" fillId="0" borderId="2" xfId="0" applyNumberFormat="1" applyFont="1" applyBorder="1" applyAlignment="1">
      <alignment horizontal="center" vertical="center" wrapText="1"/>
    </xf>
    <xf numFmtId="8" fontId="9" fillId="0" borderId="2" xfId="0" applyNumberFormat="1" applyFont="1" applyBorder="1" applyAlignment="1">
      <alignment horizontal="center" vertical="center" wrapText="1"/>
    </xf>
    <xf numFmtId="0" fontId="13" fillId="0" borderId="0" xfId="0" applyFont="1" applyBorder="1" applyAlignment="1">
      <alignment vertical="center" wrapText="1"/>
    </xf>
    <xf numFmtId="0" fontId="9" fillId="0" borderId="0" xfId="0" applyFont="1" applyFill="1" applyBorder="1" applyAlignment="1">
      <alignment vertical="center" wrapText="1"/>
    </xf>
    <xf numFmtId="0" fontId="3" fillId="0" borderId="0" xfId="0" applyFont="1" applyFill="1" applyBorder="1" applyAlignment="1">
      <alignment horizontal="right" vertical="center" wrapText="1"/>
    </xf>
    <xf numFmtId="164" fontId="1" fillId="0" borderId="0"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9" fillId="0" borderId="0" xfId="0" applyFont="1" applyFill="1" applyAlignment="1">
      <alignment vertical="center" wrapText="1"/>
    </xf>
    <xf numFmtId="0" fontId="3" fillId="3" borderId="14" xfId="0" applyFont="1" applyFill="1" applyBorder="1" applyAlignment="1">
      <alignment horizontal="right" vertical="center" wrapText="1"/>
    </xf>
    <xf numFmtId="0" fontId="3" fillId="3" borderId="14" xfId="0" applyFont="1" applyFill="1" applyBorder="1" applyAlignment="1">
      <alignment vertical="center" wrapText="1"/>
    </xf>
    <xf numFmtId="0" fontId="3" fillId="3" borderId="13" xfId="0" applyFont="1" applyFill="1" applyBorder="1" applyAlignment="1">
      <alignment vertical="center" wrapText="1"/>
    </xf>
    <xf numFmtId="0" fontId="1" fillId="0" borderId="0" xfId="0" applyFont="1" applyBorder="1" applyAlignment="1">
      <alignment vertical="center" wrapText="1"/>
    </xf>
    <xf numFmtId="0" fontId="1" fillId="0" borderId="0" xfId="0" applyFont="1" applyAlignment="1">
      <alignment vertical="center" wrapText="1"/>
    </xf>
    <xf numFmtId="0" fontId="9" fillId="0" borderId="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165" fontId="9" fillId="0" borderId="8" xfId="0" applyNumberFormat="1" applyFont="1" applyFill="1" applyBorder="1" applyAlignment="1">
      <alignment horizontal="center" vertical="center" wrapText="1"/>
    </xf>
    <xf numFmtId="0" fontId="3" fillId="3" borderId="10" xfId="0" applyFont="1" applyFill="1" applyBorder="1" applyAlignment="1">
      <alignment horizontal="right" vertical="center" wrapText="1"/>
    </xf>
    <xf numFmtId="0" fontId="3" fillId="3" borderId="15" xfId="0" applyFont="1" applyFill="1" applyBorder="1" applyAlignment="1">
      <alignment horizontal="right" vertical="center" wrapText="1"/>
    </xf>
    <xf numFmtId="3" fontId="4" fillId="1" borderId="34" xfId="0" applyNumberFormat="1" applyFont="1" applyFill="1" applyBorder="1" applyAlignment="1">
      <alignment horizontal="center" vertical="center" wrapText="1"/>
    </xf>
    <xf numFmtId="3" fontId="4" fillId="1" borderId="32" xfId="0" applyNumberFormat="1" applyFont="1" applyFill="1" applyBorder="1" applyAlignment="1">
      <alignment horizontal="center" vertical="center" wrapText="1"/>
    </xf>
    <xf numFmtId="0" fontId="4" fillId="5" borderId="16" xfId="0" applyFont="1" applyFill="1" applyBorder="1" applyAlignment="1">
      <alignment vertical="center" wrapText="1"/>
    </xf>
    <xf numFmtId="0" fontId="3" fillId="3" borderId="8" xfId="0" applyFont="1" applyFill="1" applyBorder="1" applyAlignment="1">
      <alignment horizontal="right" vertical="center" wrapText="1"/>
    </xf>
    <xf numFmtId="0" fontId="3" fillId="3" borderId="9" xfId="0" applyFont="1" applyFill="1" applyBorder="1" applyAlignment="1">
      <alignment horizontal="right" vertical="center" wrapText="1"/>
    </xf>
    <xf numFmtId="3" fontId="3" fillId="3" borderId="12" xfId="0" applyNumberFormat="1" applyFont="1" applyFill="1" applyBorder="1" applyAlignment="1">
      <alignment horizontal="right" vertical="center" wrapText="1"/>
    </xf>
    <xf numFmtId="0" fontId="3" fillId="3" borderId="13" xfId="0" applyFont="1" applyFill="1" applyBorder="1" applyAlignment="1">
      <alignment horizontal="right" vertical="center" wrapText="1"/>
    </xf>
    <xf numFmtId="1" fontId="3" fillId="3" borderId="13" xfId="0" applyNumberFormat="1" applyFont="1" applyFill="1" applyBorder="1" applyAlignment="1">
      <alignment vertical="center" wrapText="1"/>
    </xf>
    <xf numFmtId="10" fontId="9" fillId="0" borderId="8" xfId="0" applyNumberFormat="1" applyFont="1" applyFill="1" applyBorder="1" applyAlignment="1">
      <alignment horizontal="center" vertical="center" wrapText="1"/>
    </xf>
    <xf numFmtId="165" fontId="9" fillId="0" borderId="0" xfId="0" applyNumberFormat="1" applyFont="1" applyFill="1" applyBorder="1" applyAlignment="1">
      <alignment horizontal="center" vertical="center" wrapText="1"/>
    </xf>
    <xf numFmtId="165" fontId="9" fillId="0" borderId="0" xfId="0" applyNumberFormat="1" applyFont="1" applyFill="1" applyBorder="1" applyAlignment="1">
      <alignment vertical="center" wrapText="1"/>
    </xf>
    <xf numFmtId="0" fontId="3" fillId="3" borderId="12" xfId="0" applyFont="1" applyFill="1" applyBorder="1" applyAlignment="1">
      <alignment horizontal="center" vertical="center" wrapText="1"/>
    </xf>
    <xf numFmtId="8" fontId="9" fillId="0" borderId="0" xfId="0" applyNumberFormat="1" applyFont="1" applyFill="1" applyBorder="1" applyAlignment="1">
      <alignment vertical="center" wrapText="1"/>
    </xf>
    <xf numFmtId="167" fontId="9" fillId="0" borderId="2" xfId="0" applyNumberFormat="1" applyFont="1" applyBorder="1" applyAlignment="1">
      <alignment horizontal="center" vertical="center" wrapText="1"/>
    </xf>
    <xf numFmtId="0" fontId="9" fillId="6" borderId="7" xfId="0" applyFont="1" applyFill="1" applyBorder="1" applyAlignment="1">
      <alignment vertical="center" wrapText="1"/>
    </xf>
    <xf numFmtId="0" fontId="9" fillId="6" borderId="9" xfId="0" applyFont="1" applyFill="1" applyBorder="1" applyAlignment="1">
      <alignment vertical="center" wrapText="1"/>
    </xf>
    <xf numFmtId="164" fontId="1" fillId="0" borderId="0" xfId="0" applyNumberFormat="1" applyFont="1" applyFill="1" applyBorder="1" applyAlignment="1">
      <alignment horizontal="right" vertical="center" wrapText="1"/>
    </xf>
    <xf numFmtId="0" fontId="3" fillId="3" borderId="9" xfId="0" applyFont="1" applyFill="1" applyBorder="1" applyAlignment="1">
      <alignment horizontal="center" vertical="center" wrapText="1"/>
    </xf>
    <xf numFmtId="164" fontId="7" fillId="2" borderId="15"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4" fillId="5" borderId="31" xfId="0" applyFont="1" applyFill="1" applyBorder="1" applyAlignment="1">
      <alignment vertical="center" wrapText="1"/>
    </xf>
    <xf numFmtId="0" fontId="3" fillId="3" borderId="7" xfId="0" applyFont="1" applyFill="1" applyBorder="1" applyAlignment="1">
      <alignment vertical="center" wrapText="1"/>
    </xf>
    <xf numFmtId="0" fontId="9" fillId="6" borderId="0" xfId="0" applyFont="1" applyFill="1" applyBorder="1" applyAlignment="1">
      <alignment vertical="center" wrapText="1"/>
    </xf>
    <xf numFmtId="164" fontId="1" fillId="3" borderId="15" xfId="0" applyNumberFormat="1" applyFont="1" applyFill="1" applyBorder="1" applyAlignment="1">
      <alignment horizontal="right" vertical="center" wrapText="1"/>
    </xf>
    <xf numFmtId="164" fontId="3" fillId="7" borderId="10" xfId="0" applyNumberFormat="1" applyFont="1" applyFill="1" applyBorder="1" applyAlignment="1">
      <alignment horizontal="right" vertical="center" wrapText="1"/>
    </xf>
    <xf numFmtId="164" fontId="10" fillId="7" borderId="11" xfId="0" applyNumberFormat="1" applyFont="1" applyFill="1" applyBorder="1" applyAlignment="1">
      <alignment horizontal="center" vertical="center" wrapText="1"/>
    </xf>
    <xf numFmtId="164" fontId="10" fillId="7" borderId="12" xfId="0" applyNumberFormat="1" applyFont="1" applyFill="1" applyBorder="1" applyAlignment="1">
      <alignment horizontal="center" vertical="center" wrapText="1"/>
    </xf>
    <xf numFmtId="164" fontId="10" fillId="7" borderId="10" xfId="0" applyNumberFormat="1" applyFont="1" applyFill="1" applyBorder="1" applyAlignment="1">
      <alignment vertical="center" wrapText="1"/>
    </xf>
    <xf numFmtId="164" fontId="10" fillId="7" borderId="11" xfId="0" applyNumberFormat="1" applyFont="1" applyFill="1" applyBorder="1" applyAlignment="1">
      <alignment vertical="center" wrapText="1"/>
    </xf>
    <xf numFmtId="164" fontId="10" fillId="7" borderId="12" xfId="0" applyNumberFormat="1" applyFont="1" applyFill="1" applyBorder="1" applyAlignment="1">
      <alignment vertical="center" wrapText="1"/>
    </xf>
    <xf numFmtId="165" fontId="1" fillId="7" borderId="10" xfId="0" applyNumberFormat="1" applyFont="1" applyFill="1" applyBorder="1" applyAlignment="1">
      <alignment horizontal="center" vertical="center" wrapText="1"/>
    </xf>
    <xf numFmtId="165" fontId="9" fillId="7" borderId="11" xfId="0" applyNumberFormat="1" applyFont="1" applyFill="1" applyBorder="1" applyAlignment="1">
      <alignment horizontal="center" vertical="center" wrapText="1"/>
    </xf>
    <xf numFmtId="165" fontId="9" fillId="7" borderId="11" xfId="0" applyNumberFormat="1" applyFont="1" applyFill="1" applyBorder="1" applyAlignment="1">
      <alignment vertical="center" wrapText="1"/>
    </xf>
    <xf numFmtId="165" fontId="9" fillId="7" borderId="4" xfId="0" applyNumberFormat="1" applyFont="1" applyFill="1" applyBorder="1" applyAlignment="1">
      <alignment vertical="center" wrapText="1"/>
    </xf>
    <xf numFmtId="165" fontId="9" fillId="7" borderId="5" xfId="0" applyNumberFormat="1" applyFont="1" applyFill="1" applyBorder="1" applyAlignment="1">
      <alignment vertical="center" wrapText="1"/>
    </xf>
    <xf numFmtId="0" fontId="3" fillId="7" borderId="14" xfId="0" applyFont="1" applyFill="1" applyBorder="1" applyAlignment="1">
      <alignment vertical="center" wrapText="1"/>
    </xf>
    <xf numFmtId="0" fontId="4" fillId="7" borderId="35" xfId="0" applyFont="1" applyFill="1" applyBorder="1" applyAlignment="1">
      <alignment horizontal="center" vertical="center" wrapText="1"/>
    </xf>
    <xf numFmtId="3" fontId="4" fillId="7" borderId="36" xfId="0" applyNumberFormat="1"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1" fillId="0" borderId="0" xfId="0" applyFont="1" applyAlignment="1">
      <alignmen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0" xfId="0" applyFont="1" applyFill="1" applyAlignment="1">
      <alignment vertical="center" wrapText="1"/>
    </xf>
    <xf numFmtId="164" fontId="9" fillId="4" borderId="8" xfId="0" applyNumberFormat="1" applyFont="1" applyFill="1" applyBorder="1" applyAlignment="1">
      <alignment vertical="center" wrapText="1"/>
    </xf>
    <xf numFmtId="164" fontId="17" fillId="4" borderId="15" xfId="0" applyNumberFormat="1" applyFont="1" applyFill="1" applyBorder="1" applyAlignment="1">
      <alignment horizontal="center" vertical="center" wrapText="1"/>
    </xf>
    <xf numFmtId="164" fontId="12" fillId="4" borderId="8" xfId="0" applyNumberFormat="1" applyFont="1" applyFill="1" applyBorder="1" applyAlignment="1">
      <alignment vertical="center" wrapText="1"/>
    </xf>
    <xf numFmtId="164" fontId="12" fillId="4" borderId="9" xfId="0" applyNumberFormat="1" applyFont="1" applyFill="1" applyBorder="1" applyAlignment="1">
      <alignment vertical="center" wrapText="1"/>
    </xf>
    <xf numFmtId="0" fontId="5" fillId="3" borderId="14" xfId="0" applyFont="1" applyFill="1" applyBorder="1" applyAlignment="1">
      <alignment horizontal="right" vertical="center" wrapText="1"/>
    </xf>
    <xf numFmtId="0" fontId="5" fillId="3" borderId="3" xfId="0" applyFont="1" applyFill="1" applyBorder="1" applyAlignment="1">
      <alignment horizontal="right" vertical="center" wrapText="1"/>
    </xf>
    <xf numFmtId="3" fontId="9" fillId="0" borderId="42" xfId="0" applyNumberFormat="1" applyFont="1" applyFill="1" applyBorder="1" applyAlignment="1">
      <alignment horizontal="center" vertical="center" wrapText="1"/>
    </xf>
    <xf numFmtId="0" fontId="3"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vertical="center" wrapText="1"/>
    </xf>
    <xf numFmtId="0" fontId="22" fillId="0" borderId="0" xfId="0" applyFont="1" applyFill="1" applyBorder="1" applyAlignment="1">
      <alignment vertical="center" wrapText="1"/>
    </xf>
    <xf numFmtId="168" fontId="6" fillId="4" borderId="2"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1" fillId="0" borderId="0" xfId="0" applyFont="1" applyBorder="1" applyAlignment="1">
      <alignment horizontal="center" vertical="center" wrapText="1"/>
    </xf>
    <xf numFmtId="0" fontId="3" fillId="3" borderId="1" xfId="0" applyFont="1" applyFill="1" applyBorder="1" applyAlignment="1">
      <alignment horizontal="center" vertical="center" wrapText="1"/>
    </xf>
    <xf numFmtId="0" fontId="10" fillId="1" borderId="28" xfId="0" applyFont="1" applyFill="1" applyBorder="1" applyAlignment="1">
      <alignment horizontal="center" vertical="center" wrapText="1"/>
    </xf>
    <xf numFmtId="0" fontId="10" fillId="1" borderId="27" xfId="0" applyFont="1" applyFill="1" applyBorder="1" applyAlignment="1">
      <alignment horizontal="center" vertical="center" wrapText="1"/>
    </xf>
    <xf numFmtId="0" fontId="10" fillId="1" borderId="21" xfId="0" applyFont="1" applyFill="1" applyBorder="1" applyAlignment="1">
      <alignment horizontal="center" vertical="center" wrapText="1"/>
    </xf>
    <xf numFmtId="0" fontId="10" fillId="1" borderId="20" xfId="0" applyFont="1" applyFill="1" applyBorder="1" applyAlignment="1">
      <alignment horizontal="center" vertical="center" wrapText="1"/>
    </xf>
    <xf numFmtId="3" fontId="9" fillId="0" borderId="48" xfId="0" applyNumberFormat="1" applyFont="1" applyFill="1" applyBorder="1" applyAlignment="1">
      <alignment horizontal="center" vertical="center" wrapText="1"/>
    </xf>
    <xf numFmtId="0" fontId="9" fillId="0" borderId="0" xfId="0" applyFont="1" applyAlignment="1">
      <alignment horizontal="center"/>
    </xf>
    <xf numFmtId="0" fontId="9" fillId="0" borderId="0" xfId="0" applyFont="1" applyBorder="1" applyAlignment="1">
      <alignment horizontal="center"/>
    </xf>
    <xf numFmtId="0" fontId="9" fillId="0" borderId="8" xfId="0" applyFont="1" applyBorder="1" applyAlignment="1">
      <alignment horizontal="center"/>
    </xf>
    <xf numFmtId="0" fontId="3" fillId="3" borderId="2" xfId="0" applyFont="1" applyFill="1" applyBorder="1" applyAlignment="1">
      <alignment horizontal="center" vertical="center" wrapText="1"/>
    </xf>
    <xf numFmtId="1"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64" fontId="10" fillId="7" borderId="10" xfId="0" applyNumberFormat="1" applyFont="1" applyFill="1" applyBorder="1" applyAlignment="1">
      <alignment horizontal="center" vertical="center" wrapText="1"/>
    </xf>
    <xf numFmtId="164" fontId="3" fillId="7" borderId="10"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164" fontId="9" fillId="4" borderId="11" xfId="0" applyNumberFormat="1" applyFont="1" applyFill="1" applyBorder="1" applyAlignment="1">
      <alignment horizontal="center" vertical="center" wrapText="1"/>
    </xf>
    <xf numFmtId="164" fontId="12" fillId="4" borderId="2"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64" fontId="12" fillId="4" borderId="12" xfId="0" applyNumberFormat="1" applyFont="1" applyFill="1" applyBorder="1" applyAlignment="1">
      <alignment horizontal="center" vertical="center" wrapText="1"/>
    </xf>
    <xf numFmtId="168" fontId="1" fillId="4" borderId="2" xfId="0" applyNumberFormat="1" applyFont="1" applyFill="1" applyBorder="1" applyAlignment="1">
      <alignment horizontal="center" vertical="center" wrapText="1"/>
    </xf>
    <xf numFmtId="0" fontId="9" fillId="0" borderId="2" xfId="0" applyFont="1" applyBorder="1" applyAlignment="1">
      <alignment horizontal="center"/>
    </xf>
    <xf numFmtId="0" fontId="0" fillId="0" borderId="0" xfId="0" applyAlignment="1">
      <alignment wrapText="1"/>
    </xf>
    <xf numFmtId="0" fontId="9" fillId="0" borderId="2" xfId="0" quotePrefix="1" applyFont="1" applyBorder="1" applyAlignment="1">
      <alignment vertical="center" wrapText="1"/>
    </xf>
    <xf numFmtId="164" fontId="9" fillId="0" borderId="2" xfId="0" applyNumberFormat="1" applyFont="1" applyBorder="1" applyAlignment="1">
      <alignment vertical="center" wrapText="1"/>
    </xf>
    <xf numFmtId="4" fontId="9" fillId="0" borderId="2" xfId="0" applyNumberFormat="1" applyFont="1" applyBorder="1" applyAlignment="1">
      <alignment vertical="center" wrapText="1"/>
    </xf>
    <xf numFmtId="164" fontId="9" fillId="0" borderId="2" xfId="2" applyNumberFormat="1" applyFont="1" applyBorder="1" applyAlignment="1">
      <alignment vertical="center" wrapText="1"/>
    </xf>
    <xf numFmtId="164" fontId="9" fillId="0" borderId="0" xfId="0" applyNumberFormat="1" applyFont="1" applyBorder="1" applyAlignment="1">
      <alignment vertical="center" wrapText="1"/>
    </xf>
    <xf numFmtId="4" fontId="9" fillId="0" borderId="0" xfId="0" applyNumberFormat="1" applyFont="1" applyBorder="1" applyAlignment="1">
      <alignment vertical="center" wrapText="1"/>
    </xf>
    <xf numFmtId="0" fontId="4" fillId="7" borderId="4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3" fillId="3" borderId="7" xfId="0" applyFont="1" applyFill="1" applyBorder="1" applyAlignment="1">
      <alignment horizontal="right" vertical="center" wrapText="1"/>
    </xf>
    <xf numFmtId="0" fontId="4" fillId="5" borderId="8" xfId="0" applyFont="1" applyFill="1" applyBorder="1" applyAlignment="1">
      <alignment vertical="center" wrapText="1"/>
    </xf>
    <xf numFmtId="0" fontId="4" fillId="5" borderId="9" xfId="0" applyFont="1" applyFill="1" applyBorder="1" applyAlignment="1">
      <alignment vertical="center" wrapText="1"/>
    </xf>
    <xf numFmtId="0" fontId="5" fillId="9" borderId="14" xfId="0" applyFont="1" applyFill="1" applyBorder="1" applyAlignment="1">
      <alignment horizontal="right" vertical="center" wrapText="1"/>
    </xf>
    <xf numFmtId="0" fontId="10" fillId="9" borderId="2" xfId="0" applyFont="1" applyFill="1" applyBorder="1" applyAlignment="1">
      <alignment horizontal="center" vertical="center" wrapText="1"/>
    </xf>
    <xf numFmtId="0" fontId="5" fillId="9" borderId="10" xfId="0" applyFont="1" applyFill="1" applyBorder="1" applyAlignment="1">
      <alignment horizontal="right" vertical="center" wrapText="1"/>
    </xf>
    <xf numFmtId="0" fontId="10" fillId="9" borderId="10" xfId="0" applyFont="1" applyFill="1" applyBorder="1" applyAlignment="1">
      <alignment horizontal="center" vertical="center" wrapText="1"/>
    </xf>
    <xf numFmtId="0" fontId="5" fillId="9" borderId="2" xfId="0" applyFont="1" applyFill="1" applyBorder="1" applyAlignment="1">
      <alignment horizontal="right" vertical="center" wrapText="1"/>
    </xf>
    <xf numFmtId="1" fontId="5" fillId="9" borderId="3" xfId="0" applyNumberFormat="1" applyFont="1" applyFill="1" applyBorder="1" applyAlignment="1">
      <alignment horizontal="center" vertical="center" wrapText="1"/>
    </xf>
    <xf numFmtId="1" fontId="5" fillId="9" borderId="7" xfId="0" applyNumberFormat="1" applyFont="1" applyFill="1" applyBorder="1" applyAlignment="1">
      <alignment horizontal="center" vertical="center" wrapText="1"/>
    </xf>
    <xf numFmtId="0" fontId="1" fillId="10" borderId="15" xfId="0" applyFont="1" applyFill="1" applyBorder="1" applyAlignment="1">
      <alignment horizontal="right" vertical="center" wrapText="1"/>
    </xf>
    <xf numFmtId="3" fontId="14" fillId="10" borderId="2" xfId="0" applyNumberFormat="1" applyFont="1" applyFill="1" applyBorder="1" applyAlignment="1">
      <alignment horizontal="center" vertical="center" wrapText="1"/>
    </xf>
    <xf numFmtId="3" fontId="10" fillId="10" borderId="10" xfId="0" applyNumberFormat="1" applyFont="1" applyFill="1" applyBorder="1" applyAlignment="1">
      <alignment horizontal="center" vertical="center" wrapText="1"/>
    </xf>
    <xf numFmtId="0" fontId="4" fillId="10" borderId="33" xfId="0" applyFont="1" applyFill="1" applyBorder="1" applyAlignment="1">
      <alignment vertical="center" wrapText="1"/>
    </xf>
    <xf numFmtId="0" fontId="4" fillId="5" borderId="20" xfId="0" applyFont="1" applyFill="1" applyBorder="1" applyAlignment="1">
      <alignment vertical="center" wrapText="1"/>
    </xf>
    <xf numFmtId="0" fontId="4" fillId="5" borderId="22" xfId="0" applyFont="1" applyFill="1" applyBorder="1" applyAlignment="1">
      <alignment vertical="center" wrapText="1"/>
    </xf>
    <xf numFmtId="0" fontId="4" fillId="5" borderId="18" xfId="0" applyFont="1" applyFill="1" applyBorder="1" applyAlignment="1">
      <alignment vertical="center" wrapText="1"/>
    </xf>
    <xf numFmtId="0" fontId="9" fillId="9" borderId="11"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4" fillId="10" borderId="2" xfId="0" applyFont="1" applyFill="1" applyBorder="1" applyAlignment="1">
      <alignment horizontal="center" vertical="center" wrapText="1"/>
    </xf>
    <xf numFmtId="164" fontId="1" fillId="10" borderId="2" xfId="0" applyNumberFormat="1" applyFont="1" applyFill="1" applyBorder="1" applyAlignment="1">
      <alignment horizontal="right" vertical="center" wrapText="1"/>
    </xf>
    <xf numFmtId="0" fontId="9" fillId="10" borderId="11"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9" fillId="9" borderId="11" xfId="0" applyFont="1" applyFill="1" applyBorder="1" applyAlignment="1">
      <alignment vertical="center" wrapText="1"/>
    </xf>
    <xf numFmtId="0" fontId="9" fillId="9" borderId="12" xfId="0" applyFont="1" applyFill="1" applyBorder="1" applyAlignment="1">
      <alignment vertical="center" wrapText="1"/>
    </xf>
    <xf numFmtId="0" fontId="4" fillId="9" borderId="11" xfId="0" applyFont="1" applyFill="1" applyBorder="1" applyAlignment="1">
      <alignment horizontal="center" vertical="center" wrapText="1"/>
    </xf>
    <xf numFmtId="0" fontId="10" fillId="9" borderId="12" xfId="0" applyFont="1" applyFill="1" applyBorder="1" applyAlignment="1">
      <alignment horizontal="center" vertical="center" wrapText="1"/>
    </xf>
    <xf numFmtId="164" fontId="10" fillId="9" borderId="2" xfId="0" applyNumberFormat="1" applyFont="1" applyFill="1" applyBorder="1" applyAlignment="1">
      <alignment horizontal="center" vertical="center" wrapText="1"/>
    </xf>
    <xf numFmtId="0" fontId="10" fillId="9" borderId="13" xfId="0" applyFont="1" applyFill="1" applyBorder="1" applyAlignment="1">
      <alignment horizontal="center" vertical="center" wrapText="1"/>
    </xf>
    <xf numFmtId="165" fontId="9" fillId="9" borderId="6" xfId="0" applyNumberFormat="1" applyFont="1" applyFill="1" applyBorder="1" applyAlignment="1">
      <alignment horizontal="center" vertical="center" wrapText="1"/>
    </xf>
    <xf numFmtId="165" fontId="9" fillId="9" borderId="2" xfId="0" applyNumberFormat="1" applyFont="1" applyFill="1" applyBorder="1" applyAlignment="1">
      <alignment horizontal="center" vertical="center" wrapText="1"/>
    </xf>
    <xf numFmtId="164" fontId="10" fillId="9" borderId="13" xfId="0" applyNumberFormat="1" applyFont="1" applyFill="1" applyBorder="1" applyAlignment="1">
      <alignment horizontal="center" vertical="center" wrapText="1"/>
    </xf>
    <xf numFmtId="164" fontId="10" fillId="9" borderId="1" xfId="0" applyNumberFormat="1" applyFont="1" applyFill="1" applyBorder="1" applyAlignment="1">
      <alignment horizontal="center" vertical="center" wrapText="1"/>
    </xf>
    <xf numFmtId="0" fontId="9" fillId="9" borderId="10" xfId="0" applyFont="1" applyFill="1" applyBorder="1" applyAlignment="1">
      <alignment vertical="center" wrapText="1"/>
    </xf>
    <xf numFmtId="3" fontId="9" fillId="10" borderId="2" xfId="0" applyNumberFormat="1" applyFont="1" applyFill="1" applyBorder="1" applyAlignment="1">
      <alignment horizontal="center" vertical="center" wrapText="1"/>
    </xf>
    <xf numFmtId="0" fontId="4" fillId="10" borderId="12" xfId="0" applyFont="1" applyFill="1" applyBorder="1" applyAlignment="1">
      <alignment vertical="center" wrapText="1"/>
    </xf>
    <xf numFmtId="164" fontId="10" fillId="10" borderId="29" xfId="0" applyNumberFormat="1" applyFont="1" applyFill="1" applyBorder="1" applyAlignment="1">
      <alignment horizontal="center" vertical="center" wrapText="1"/>
    </xf>
    <xf numFmtId="164" fontId="10" fillId="10" borderId="31" xfId="0" applyNumberFormat="1" applyFont="1" applyFill="1" applyBorder="1" applyAlignment="1">
      <alignment horizontal="center" vertical="center" wrapText="1"/>
    </xf>
    <xf numFmtId="0" fontId="9" fillId="10" borderId="27" xfId="0" applyFont="1" applyFill="1" applyBorder="1" applyAlignment="1">
      <alignment horizontal="center" vertical="center" wrapText="1"/>
    </xf>
    <xf numFmtId="0" fontId="9" fillId="10" borderId="1" xfId="0" applyFont="1" applyFill="1" applyBorder="1" applyAlignment="1">
      <alignment vertical="center" wrapText="1"/>
    </xf>
    <xf numFmtId="0" fontId="9" fillId="10" borderId="6" xfId="0" applyFont="1" applyFill="1" applyBorder="1" applyAlignment="1">
      <alignment vertical="center" wrapText="1"/>
    </xf>
    <xf numFmtId="0" fontId="10" fillId="10" borderId="22" xfId="0" applyFont="1" applyFill="1" applyBorder="1" applyAlignment="1">
      <alignment horizontal="center" vertical="center" wrapText="1"/>
    </xf>
    <xf numFmtId="0" fontId="10" fillId="10" borderId="16"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 xfId="0" applyFont="1" applyFill="1" applyBorder="1" applyAlignment="1">
      <alignment vertical="center" wrapText="1"/>
    </xf>
    <xf numFmtId="0" fontId="10" fillId="10" borderId="6" xfId="0" applyFont="1" applyFill="1" applyBorder="1" applyAlignment="1">
      <alignment vertical="center" wrapText="1"/>
    </xf>
    <xf numFmtId="0" fontId="10" fillId="10" borderId="38"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10" fillId="10" borderId="24" xfId="0" applyFont="1" applyFill="1" applyBorder="1" applyAlignment="1">
      <alignment horizontal="center" vertical="center" wrapText="1"/>
    </xf>
    <xf numFmtId="0" fontId="10" fillId="10" borderId="7" xfId="0" applyFont="1" applyFill="1" applyBorder="1" applyAlignment="1">
      <alignment vertical="center" wrapText="1"/>
    </xf>
    <xf numFmtId="0" fontId="10" fillId="10" borderId="9" xfId="0" applyFont="1" applyFill="1" applyBorder="1" applyAlignment="1">
      <alignment vertical="center" wrapText="1"/>
    </xf>
    <xf numFmtId="164" fontId="10" fillId="10" borderId="43" xfId="0" applyNumberFormat="1" applyFont="1" applyFill="1" applyBorder="1" applyAlignment="1">
      <alignment horizontal="center" vertical="center" wrapText="1"/>
    </xf>
    <xf numFmtId="164" fontId="10" fillId="10" borderId="3" xfId="0" applyNumberFormat="1" applyFont="1" applyFill="1" applyBorder="1" applyAlignment="1">
      <alignment vertical="center" wrapText="1"/>
    </xf>
    <xf numFmtId="164" fontId="10" fillId="10" borderId="5" xfId="0" applyNumberFormat="1" applyFont="1" applyFill="1" applyBorder="1" applyAlignment="1">
      <alignment vertical="center" wrapText="1"/>
    </xf>
    <xf numFmtId="164" fontId="10" fillId="10" borderId="22" xfId="0" applyNumberFormat="1" applyFont="1" applyFill="1" applyBorder="1" applyAlignment="1">
      <alignment horizontal="center" vertical="center" wrapText="1"/>
    </xf>
    <xf numFmtId="164" fontId="10" fillId="10" borderId="16" xfId="0" applyNumberFormat="1" applyFont="1" applyFill="1" applyBorder="1" applyAlignment="1">
      <alignment horizontal="center" vertical="center" wrapText="1"/>
    </xf>
    <xf numFmtId="164" fontId="10" fillId="10" borderId="20" xfId="0" applyNumberFormat="1" applyFont="1" applyFill="1" applyBorder="1" applyAlignment="1">
      <alignment horizontal="center" vertical="center" wrapText="1"/>
    </xf>
    <xf numFmtId="164" fontId="10" fillId="10" borderId="1" xfId="0" applyNumberFormat="1" applyFont="1" applyFill="1" applyBorder="1" applyAlignment="1">
      <alignment vertical="center" wrapText="1"/>
    </xf>
    <xf numFmtId="164" fontId="10" fillId="10" borderId="6" xfId="0" applyNumberFormat="1" applyFont="1" applyFill="1" applyBorder="1" applyAlignment="1">
      <alignment vertical="center" wrapText="1"/>
    </xf>
    <xf numFmtId="8" fontId="10" fillId="10" borderId="20" xfId="0" applyNumberFormat="1" applyFont="1" applyFill="1" applyBorder="1" applyAlignment="1">
      <alignment horizontal="center" vertical="center" wrapText="1"/>
    </xf>
    <xf numFmtId="164" fontId="10" fillId="10" borderId="38" xfId="0" applyNumberFormat="1" applyFont="1" applyFill="1" applyBorder="1" applyAlignment="1">
      <alignment horizontal="center" vertical="center" wrapText="1"/>
    </xf>
    <xf numFmtId="164" fontId="10" fillId="10" borderId="17" xfId="0" applyNumberFormat="1" applyFont="1" applyFill="1" applyBorder="1" applyAlignment="1">
      <alignment horizontal="center" vertical="center" wrapText="1"/>
    </xf>
    <xf numFmtId="164" fontId="15" fillId="10" borderId="24" xfId="0" applyNumberFormat="1" applyFont="1" applyFill="1" applyBorder="1" applyAlignment="1">
      <alignment horizontal="center" vertical="center" wrapText="1"/>
    </xf>
    <xf numFmtId="164" fontId="5" fillId="10" borderId="7" xfId="0" applyNumberFormat="1" applyFont="1" applyFill="1" applyBorder="1" applyAlignment="1">
      <alignment vertical="center" wrapText="1"/>
    </xf>
    <xf numFmtId="164" fontId="5" fillId="10" borderId="9" xfId="0" applyNumberFormat="1" applyFont="1" applyFill="1" applyBorder="1" applyAlignment="1">
      <alignment vertical="center" wrapText="1"/>
    </xf>
    <xf numFmtId="0" fontId="9" fillId="10" borderId="41" xfId="0" applyFont="1" applyFill="1" applyBorder="1" applyAlignment="1">
      <alignment horizontal="center" vertical="center" wrapText="1"/>
    </xf>
    <xf numFmtId="0" fontId="9" fillId="10" borderId="0" xfId="0" applyFont="1" applyFill="1" applyBorder="1" applyAlignment="1">
      <alignment vertical="center" wrapText="1"/>
    </xf>
    <xf numFmtId="0" fontId="9" fillId="10" borderId="19" xfId="0" applyFont="1" applyFill="1" applyBorder="1" applyAlignment="1">
      <alignment horizontal="center" vertical="center" wrapText="1"/>
    </xf>
    <xf numFmtId="164" fontId="10" fillId="10" borderId="41" xfId="0" applyNumberFormat="1" applyFont="1" applyFill="1" applyBorder="1" applyAlignment="1">
      <alignment horizontal="center" vertical="center" wrapText="1"/>
    </xf>
    <xf numFmtId="164" fontId="10" fillId="10" borderId="0" xfId="0" applyNumberFormat="1" applyFont="1" applyFill="1" applyBorder="1" applyAlignment="1">
      <alignment vertical="center" wrapText="1"/>
    </xf>
    <xf numFmtId="8" fontId="10" fillId="10" borderId="18" xfId="0" applyNumberFormat="1" applyFont="1" applyFill="1" applyBorder="1" applyAlignment="1">
      <alignment horizontal="center" vertical="center" wrapText="1"/>
    </xf>
    <xf numFmtId="164" fontId="15" fillId="10" borderId="19" xfId="0" applyNumberFormat="1" applyFont="1" applyFill="1" applyBorder="1" applyAlignment="1">
      <alignment horizontal="center" vertical="center" wrapText="1"/>
    </xf>
    <xf numFmtId="164" fontId="5" fillId="10" borderId="0" xfId="0" applyNumberFormat="1" applyFont="1" applyFill="1" applyBorder="1" applyAlignment="1">
      <alignment vertical="center" wrapText="1"/>
    </xf>
    <xf numFmtId="164" fontId="5" fillId="10" borderId="6" xfId="0" applyNumberFormat="1" applyFont="1" applyFill="1" applyBorder="1" applyAlignment="1">
      <alignment vertical="center" wrapText="1"/>
    </xf>
    <xf numFmtId="164" fontId="10" fillId="10" borderId="37" xfId="0" applyNumberFormat="1" applyFont="1" applyFill="1" applyBorder="1" applyAlignment="1">
      <alignment horizontal="center" vertical="center" wrapText="1"/>
    </xf>
    <xf numFmtId="164" fontId="10" fillId="10" borderId="40" xfId="0" applyNumberFormat="1" applyFont="1" applyFill="1" applyBorder="1" applyAlignment="1">
      <alignment horizontal="center" vertical="center" wrapText="1"/>
    </xf>
    <xf numFmtId="164" fontId="15" fillId="10" borderId="42" xfId="0" applyNumberFormat="1" applyFont="1" applyFill="1" applyBorder="1" applyAlignment="1">
      <alignment horizontal="center" vertical="center" wrapText="1"/>
    </xf>
    <xf numFmtId="0" fontId="1" fillId="9" borderId="3" xfId="0" applyFont="1" applyFill="1" applyBorder="1" applyAlignment="1">
      <alignment horizontal="right" vertical="center" wrapText="1"/>
    </xf>
    <xf numFmtId="165" fontId="9" fillId="10" borderId="2" xfId="0" applyNumberFormat="1" applyFont="1" applyFill="1" applyBorder="1" applyAlignment="1">
      <alignment horizontal="center" vertical="center" wrapText="1"/>
    </xf>
    <xf numFmtId="0" fontId="1" fillId="9" borderId="2" xfId="0" applyFont="1" applyFill="1" applyBorder="1" applyAlignment="1">
      <alignment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8" fontId="7" fillId="10" borderId="14" xfId="0" applyNumberFormat="1" applyFont="1" applyFill="1" applyBorder="1" applyAlignment="1">
      <alignment horizontal="center" vertical="center" wrapText="1"/>
    </xf>
    <xf numFmtId="0" fontId="9" fillId="10" borderId="5" xfId="0" applyFont="1" applyFill="1" applyBorder="1" applyAlignment="1">
      <alignment vertical="center" wrapText="1"/>
    </xf>
    <xf numFmtId="0" fontId="5" fillId="10" borderId="0" xfId="0" applyFont="1" applyFill="1" applyBorder="1" applyAlignment="1">
      <alignment vertical="center" wrapText="1"/>
    </xf>
    <xf numFmtId="0" fontId="5" fillId="10" borderId="6" xfId="0" applyFont="1" applyFill="1" applyBorder="1" applyAlignment="1">
      <alignment vertical="center" wrapText="1"/>
    </xf>
    <xf numFmtId="0" fontId="19" fillId="0" borderId="8" xfId="0" applyFont="1" applyBorder="1" applyAlignment="1">
      <alignment wrapText="1"/>
    </xf>
    <xf numFmtId="3" fontId="24" fillId="10" borderId="2" xfId="0" applyNumberFormat="1" applyFont="1" applyFill="1" applyBorder="1" applyAlignment="1">
      <alignment horizontal="center"/>
    </xf>
    <xf numFmtId="0" fontId="5" fillId="9" borderId="2"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5"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6" xfId="0" applyFont="1" applyFill="1" applyBorder="1" applyAlignment="1">
      <alignment horizontal="center" vertical="center" wrapText="1"/>
    </xf>
    <xf numFmtId="1" fontId="10" fillId="10" borderId="22" xfId="0" applyNumberFormat="1" applyFont="1" applyFill="1" applyBorder="1" applyAlignment="1">
      <alignment horizontal="center" vertical="center" wrapText="1"/>
    </xf>
    <xf numFmtId="1" fontId="10" fillId="10" borderId="16" xfId="0" applyNumberFormat="1" applyFont="1" applyFill="1" applyBorder="1" applyAlignment="1">
      <alignment horizontal="center" vertical="center" wrapText="1"/>
    </xf>
    <xf numFmtId="1" fontId="10" fillId="10" borderId="20" xfId="0" applyNumberFormat="1"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6" xfId="0" applyFont="1" applyFill="1" applyBorder="1" applyAlignment="1">
      <alignment horizontal="center" vertical="center" wrapText="1"/>
    </xf>
    <xf numFmtId="1" fontId="10" fillId="10" borderId="38" xfId="0" applyNumberFormat="1" applyFont="1" applyFill="1" applyBorder="1" applyAlignment="1">
      <alignment horizontal="center" vertical="center" wrapText="1"/>
    </xf>
    <xf numFmtId="1" fontId="10" fillId="10" borderId="17" xfId="0" applyNumberFormat="1" applyFont="1" applyFill="1" applyBorder="1" applyAlignment="1">
      <alignment horizontal="center" vertical="center" wrapText="1"/>
    </xf>
    <xf numFmtId="1" fontId="10" fillId="10" borderId="24" xfId="0" applyNumberFormat="1"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0" borderId="9" xfId="0" applyFont="1" applyFill="1" applyBorder="1" applyAlignment="1">
      <alignment horizontal="center" vertical="center" wrapText="1"/>
    </xf>
    <xf numFmtId="165" fontId="9" fillId="10" borderId="11" xfId="0" applyNumberFormat="1" applyFont="1" applyFill="1" applyBorder="1" applyAlignment="1">
      <alignment horizontal="center" vertical="center" wrapText="1"/>
    </xf>
    <xf numFmtId="165" fontId="9" fillId="10" borderId="11" xfId="0" applyNumberFormat="1" applyFont="1" applyFill="1" applyBorder="1" applyAlignment="1">
      <alignment vertical="center" wrapText="1"/>
    </xf>
    <xf numFmtId="165" fontId="9" fillId="10" borderId="4" xfId="0" applyNumberFormat="1" applyFont="1" applyFill="1" applyBorder="1" applyAlignment="1">
      <alignment horizontal="center" vertical="center" wrapText="1"/>
    </xf>
    <xf numFmtId="165" fontId="9" fillId="10" borderId="5" xfId="0" applyNumberFormat="1" applyFont="1" applyFill="1" applyBorder="1" applyAlignment="1">
      <alignment horizontal="center" vertical="center" wrapText="1"/>
    </xf>
    <xf numFmtId="164" fontId="10" fillId="10" borderId="3" xfId="0" applyNumberFormat="1" applyFont="1" applyFill="1" applyBorder="1" applyAlignment="1">
      <alignment horizontal="center" vertical="center" wrapText="1"/>
    </xf>
    <xf numFmtId="164" fontId="10" fillId="10" borderId="5" xfId="0" applyNumberFormat="1" applyFont="1" applyFill="1" applyBorder="1" applyAlignment="1">
      <alignment horizontal="center" vertical="center" wrapText="1"/>
    </xf>
    <xf numFmtId="164" fontId="10" fillId="10" borderId="1" xfId="0" applyNumberFormat="1" applyFont="1" applyFill="1" applyBorder="1" applyAlignment="1">
      <alignment horizontal="center" vertical="center" wrapText="1"/>
    </xf>
    <xf numFmtId="164" fontId="10" fillId="10" borderId="6" xfId="0" applyNumberFormat="1" applyFont="1" applyFill="1" applyBorder="1" applyAlignment="1">
      <alignment horizontal="center" vertical="center" wrapText="1"/>
    </xf>
    <xf numFmtId="164" fontId="5" fillId="10" borderId="24" xfId="0" applyNumberFormat="1" applyFont="1" applyFill="1" applyBorder="1" applyAlignment="1">
      <alignment horizontal="center" vertical="center" wrapText="1"/>
    </xf>
    <xf numFmtId="164" fontId="5" fillId="10" borderId="7" xfId="0" applyNumberFormat="1" applyFont="1" applyFill="1" applyBorder="1" applyAlignment="1">
      <alignment horizontal="center" vertical="center" wrapText="1"/>
    </xf>
    <xf numFmtId="164" fontId="5" fillId="10" borderId="9" xfId="0" applyNumberFormat="1"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9" fillId="10" borderId="0" xfId="0" applyFont="1" applyFill="1" applyBorder="1" applyAlignment="1">
      <alignment horizontal="center" vertical="center" wrapText="1"/>
    </xf>
    <xf numFmtId="1" fontId="9" fillId="10" borderId="19" xfId="0" applyNumberFormat="1" applyFont="1" applyFill="1" applyBorder="1" applyAlignment="1">
      <alignment horizontal="center" vertical="center" wrapText="1"/>
    </xf>
    <xf numFmtId="164" fontId="10" fillId="10" borderId="0" xfId="0" applyNumberFormat="1" applyFont="1" applyFill="1" applyBorder="1" applyAlignment="1">
      <alignment horizontal="center" vertical="center" wrapText="1"/>
    </xf>
    <xf numFmtId="164" fontId="5" fillId="10" borderId="19" xfId="0" applyNumberFormat="1" applyFont="1" applyFill="1" applyBorder="1" applyAlignment="1">
      <alignment horizontal="center" vertical="center" wrapText="1"/>
    </xf>
    <xf numFmtId="164" fontId="5" fillId="10" borderId="0" xfId="0" applyNumberFormat="1" applyFont="1" applyFill="1" applyBorder="1" applyAlignment="1">
      <alignment horizontal="center" vertical="center" wrapText="1"/>
    </xf>
    <xf numFmtId="164" fontId="5" fillId="10" borderId="6" xfId="0" applyNumberFormat="1" applyFont="1" applyFill="1" applyBorder="1" applyAlignment="1">
      <alignment horizontal="center" vertical="center" wrapText="1"/>
    </xf>
    <xf numFmtId="164" fontId="5" fillId="10" borderId="42" xfId="0" applyNumberFormat="1" applyFont="1" applyFill="1" applyBorder="1" applyAlignment="1">
      <alignment horizontal="center" vertical="center" wrapText="1"/>
    </xf>
    <xf numFmtId="8" fontId="1" fillId="10" borderId="2" xfId="0" applyNumberFormat="1" applyFont="1" applyFill="1" applyBorder="1" applyAlignment="1">
      <alignment horizontal="center" vertical="center" wrapText="1"/>
    </xf>
    <xf numFmtId="0" fontId="9" fillId="10" borderId="12" xfId="0" applyFont="1" applyFill="1" applyBorder="1" applyAlignment="1">
      <alignment vertical="center" wrapText="1"/>
    </xf>
    <xf numFmtId="165" fontId="9" fillId="10" borderId="2" xfId="0" applyNumberFormat="1" applyFont="1" applyFill="1" applyBorder="1" applyAlignment="1">
      <alignment horizontal="center" vertical="center" wrapText="1"/>
    </xf>
    <xf numFmtId="0" fontId="19" fillId="0" borderId="8" xfId="0" applyFont="1" applyBorder="1" applyAlignment="1" applyProtection="1">
      <alignment wrapText="1"/>
      <protection locked="0"/>
    </xf>
    <xf numFmtId="0" fontId="14" fillId="4" borderId="2" xfId="0" applyFont="1" applyFill="1" applyBorder="1" applyAlignment="1" applyProtection="1">
      <alignment horizontal="center" vertical="center" wrapText="1"/>
      <protection locked="0"/>
    </xf>
    <xf numFmtId="0" fontId="10" fillId="0" borderId="29"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protection locked="0"/>
    </xf>
    <xf numFmtId="0" fontId="10" fillId="0" borderId="27" xfId="0" applyFont="1" applyFill="1" applyBorder="1" applyAlignment="1" applyProtection="1">
      <alignment horizontal="center" vertical="center" wrapText="1"/>
      <protection locked="0"/>
    </xf>
    <xf numFmtId="0" fontId="4" fillId="0" borderId="31" xfId="0" applyFont="1" applyFill="1" applyBorder="1" applyAlignment="1" applyProtection="1">
      <alignment vertical="center" wrapText="1"/>
      <protection locked="0"/>
    </xf>
    <xf numFmtId="0" fontId="10" fillId="8" borderId="29"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4" fillId="0" borderId="16" xfId="0" applyFont="1" applyFill="1" applyBorder="1" applyAlignment="1" applyProtection="1">
      <alignment vertical="center" wrapText="1"/>
      <protection locked="0"/>
    </xf>
    <xf numFmtId="0" fontId="10" fillId="8" borderId="22" xfId="0" applyFont="1" applyFill="1" applyBorder="1" applyAlignment="1" applyProtection="1">
      <alignment horizontal="center" vertical="center" wrapText="1"/>
      <protection locked="0"/>
    </xf>
    <xf numFmtId="0" fontId="10" fillId="8" borderId="16"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166" fontId="10" fillId="0" borderId="22" xfId="0" applyNumberFormat="1" applyFont="1" applyFill="1" applyBorder="1" applyAlignment="1" applyProtection="1">
      <alignment horizontal="center" vertical="center" wrapText="1"/>
      <protection locked="0"/>
    </xf>
    <xf numFmtId="0" fontId="11" fillId="0" borderId="22" xfId="1" applyFont="1" applyFill="1" applyBorder="1" applyAlignment="1" applyProtection="1">
      <alignment horizontal="center" vertical="center" wrapText="1"/>
      <protection locked="0"/>
    </xf>
    <xf numFmtId="0" fontId="11" fillId="0" borderId="16" xfId="1" applyFont="1" applyFill="1" applyBorder="1" applyAlignment="1" applyProtection="1">
      <alignment horizontal="center" vertical="center" wrapText="1"/>
      <protection locked="0"/>
    </xf>
    <xf numFmtId="0" fontId="11" fillId="0" borderId="20" xfId="1" applyFont="1" applyFill="1" applyBorder="1" applyAlignment="1" applyProtection="1">
      <alignment horizontal="center" vertical="center" wrapText="1"/>
      <protection locked="0"/>
    </xf>
    <xf numFmtId="0" fontId="11" fillId="8" borderId="22" xfId="1" applyFont="1" applyFill="1" applyBorder="1" applyAlignment="1" applyProtection="1">
      <alignment horizontal="center" vertical="center" wrapText="1"/>
      <protection locked="0"/>
    </xf>
    <xf numFmtId="0" fontId="4" fillId="0" borderId="22"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wrapText="1"/>
      <protection locked="0"/>
    </xf>
    <xf numFmtId="0" fontId="10" fillId="0" borderId="50"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3" fontId="10" fillId="0" borderId="31" xfId="0" applyNumberFormat="1" applyFont="1" applyFill="1" applyBorder="1" applyAlignment="1" applyProtection="1">
      <alignment horizontal="center" vertical="center" wrapText="1"/>
      <protection locked="0"/>
    </xf>
    <xf numFmtId="3" fontId="10" fillId="0" borderId="27" xfId="0" applyNumberFormat="1" applyFont="1" applyFill="1" applyBorder="1" applyAlignment="1" applyProtection="1">
      <alignment horizontal="center" vertical="center" wrapText="1"/>
      <protection locked="0"/>
    </xf>
    <xf numFmtId="3" fontId="10" fillId="0" borderId="37" xfId="0" applyNumberFormat="1" applyFont="1" applyFill="1" applyBorder="1" applyAlignment="1" applyProtection="1">
      <alignment horizontal="center" vertical="center" wrapText="1"/>
      <protection locked="0"/>
    </xf>
    <xf numFmtId="3" fontId="10" fillId="0" borderId="38" xfId="0" applyNumberFormat="1"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21" fillId="0" borderId="9" xfId="0" applyFont="1" applyBorder="1" applyAlignment="1" applyProtection="1">
      <alignment vertical="center" wrapText="1"/>
      <protection locked="0"/>
    </xf>
    <xf numFmtId="0" fontId="16" fillId="0" borderId="28" xfId="0" applyFont="1" applyFill="1" applyBorder="1" applyAlignment="1" applyProtection="1">
      <alignment horizontal="center" vertical="center" wrapText="1"/>
      <protection locked="0"/>
    </xf>
    <xf numFmtId="0" fontId="10" fillId="0" borderId="28" xfId="0" applyFont="1" applyFill="1" applyBorder="1" applyAlignment="1" applyProtection="1">
      <alignment horizontal="center" vertical="center" wrapText="1"/>
      <protection locked="0"/>
    </xf>
    <xf numFmtId="165" fontId="9" fillId="0" borderId="45" xfId="0" applyNumberFormat="1" applyFont="1" applyFill="1" applyBorder="1" applyAlignment="1" applyProtection="1">
      <alignment horizontal="center" vertical="center" wrapText="1"/>
      <protection locked="0"/>
    </xf>
    <xf numFmtId="10" fontId="9" fillId="0" borderId="39" xfId="0" applyNumberFormat="1" applyFont="1" applyFill="1" applyBorder="1" applyAlignment="1" applyProtection="1">
      <alignment horizontal="center" vertical="center" wrapText="1"/>
      <protection locked="0"/>
    </xf>
    <xf numFmtId="165" fontId="9" fillId="0" borderId="39" xfId="0" applyNumberFormat="1"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165" fontId="9" fillId="0" borderId="35" xfId="0" applyNumberFormat="1" applyFont="1" applyFill="1" applyBorder="1" applyAlignment="1" applyProtection="1">
      <alignment horizontal="center" vertical="center" wrapText="1"/>
      <protection locked="0"/>
    </xf>
    <xf numFmtId="3" fontId="11" fillId="0" borderId="42" xfId="1" applyNumberFormat="1" applyFill="1" applyBorder="1" applyAlignment="1" applyProtection="1">
      <alignment horizontal="center" vertical="center" wrapText="1"/>
      <protection locked="0"/>
    </xf>
    <xf numFmtId="164" fontId="9" fillId="0" borderId="35" xfId="0" applyNumberFormat="1" applyFont="1" applyFill="1" applyBorder="1" applyAlignment="1" applyProtection="1">
      <alignment horizontal="center" vertical="center" wrapText="1"/>
      <protection locked="0"/>
    </xf>
    <xf numFmtId="3" fontId="9" fillId="0" borderId="35" xfId="0" applyNumberFormat="1" applyFont="1" applyFill="1" applyBorder="1" applyAlignment="1" applyProtection="1">
      <alignment horizontal="center" vertical="center" wrapText="1"/>
      <protection locked="0"/>
    </xf>
    <xf numFmtId="164" fontId="9" fillId="0" borderId="36" xfId="0" applyNumberFormat="1"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3" fillId="3" borderId="10"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4" fillId="0" borderId="2" xfId="0" applyFont="1" applyFill="1" applyBorder="1" applyAlignment="1" applyProtection="1">
      <alignment horizontal="center" vertical="center" wrapText="1"/>
      <protection locked="0"/>
    </xf>
    <xf numFmtId="0" fontId="28" fillId="0" borderId="20" xfId="0"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center" wrapText="1"/>
      <protection locked="0"/>
    </xf>
    <xf numFmtId="14" fontId="28" fillId="0" borderId="20" xfId="0" applyNumberFormat="1" applyFont="1" applyFill="1" applyBorder="1" applyAlignment="1" applyProtection="1">
      <alignment horizontal="left" vertical="center" wrapText="1"/>
      <protection locked="0"/>
    </xf>
    <xf numFmtId="14" fontId="28" fillId="0" borderId="23" xfId="0" applyNumberFormat="1" applyFont="1" applyFill="1" applyBorder="1" applyAlignment="1" applyProtection="1">
      <alignment horizontal="left" vertical="center" wrapText="1"/>
      <protection locked="0"/>
    </xf>
    <xf numFmtId="0" fontId="28" fillId="0" borderId="24" xfId="0" applyFont="1" applyFill="1" applyBorder="1" applyAlignment="1" applyProtection="1">
      <alignment horizontal="left" vertical="center" wrapText="1"/>
    </xf>
    <xf numFmtId="0" fontId="28" fillId="0" borderId="25" xfId="0" applyFont="1" applyFill="1" applyBorder="1" applyAlignment="1" applyProtection="1">
      <alignment horizontal="left" vertical="center" wrapText="1"/>
    </xf>
    <xf numFmtId="0" fontId="29" fillId="0" borderId="0" xfId="0" applyFont="1" applyAlignment="1">
      <alignment horizontal="left" vertical="center" wrapText="1"/>
    </xf>
    <xf numFmtId="0" fontId="28" fillId="0" borderId="22" xfId="0" applyFont="1" applyFill="1" applyBorder="1" applyAlignment="1" applyProtection="1">
      <alignment horizontal="left" vertical="center" wrapText="1"/>
      <protection locked="0"/>
    </xf>
    <xf numFmtId="14" fontId="28" fillId="0" borderId="22" xfId="0" applyNumberFormat="1" applyFont="1" applyFill="1" applyBorder="1" applyAlignment="1" applyProtection="1">
      <alignment horizontal="left" vertical="center" wrapText="1"/>
      <protection locked="0"/>
    </xf>
    <xf numFmtId="0" fontId="28" fillId="0" borderId="51" xfId="0" applyFont="1" applyFill="1" applyBorder="1" applyAlignment="1" applyProtection="1">
      <alignment horizontal="left" vertical="center" wrapText="1"/>
    </xf>
    <xf numFmtId="165" fontId="9" fillId="0" borderId="36" xfId="0" applyNumberFormat="1" applyFont="1" applyFill="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16" fillId="0" borderId="11" xfId="0" applyFont="1" applyBorder="1" applyAlignment="1">
      <alignment horizontal="left" vertical="center" wrapText="1"/>
    </xf>
    <xf numFmtId="0" fontId="19" fillId="0" borderId="11" xfId="0" applyFont="1" applyBorder="1" applyAlignment="1">
      <alignment horizontal="left" vertical="center" wrapText="1"/>
    </xf>
    <xf numFmtId="0" fontId="23" fillId="0" borderId="0" xfId="0" applyFont="1" applyAlignment="1">
      <alignment horizontal="right" vertical="center" wrapText="1"/>
    </xf>
    <xf numFmtId="0" fontId="9" fillId="9" borderId="10" xfId="0" applyFont="1" applyFill="1" applyBorder="1" applyAlignment="1">
      <alignment horizontal="center" vertical="center" wrapText="1"/>
    </xf>
    <xf numFmtId="0" fontId="9" fillId="9" borderId="12" xfId="0" applyFont="1" applyFill="1" applyBorder="1" applyAlignment="1">
      <alignment horizontal="center" vertical="center" wrapText="1"/>
    </xf>
    <xf numFmtId="164" fontId="18" fillId="10" borderId="1" xfId="0" applyNumberFormat="1" applyFont="1" applyFill="1" applyBorder="1" applyAlignment="1">
      <alignment horizontal="center" vertical="center" wrapText="1"/>
    </xf>
    <xf numFmtId="164" fontId="18" fillId="10" borderId="6" xfId="0" applyNumberFormat="1" applyFont="1" applyFill="1" applyBorder="1" applyAlignment="1">
      <alignment horizontal="center" vertical="center" wrapText="1"/>
    </xf>
    <xf numFmtId="164" fontId="10" fillId="10" borderId="0" xfId="0" applyNumberFormat="1" applyFont="1" applyFill="1" applyBorder="1" applyAlignment="1">
      <alignment horizontal="center" vertical="center" wrapText="1"/>
    </xf>
    <xf numFmtId="164" fontId="10" fillId="10" borderId="6" xfId="0" applyNumberFormat="1" applyFont="1" applyFill="1" applyBorder="1" applyAlignment="1">
      <alignment horizontal="center" vertical="center" wrapText="1"/>
    </xf>
    <xf numFmtId="0" fontId="16" fillId="4" borderId="10"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20" fillId="4" borderId="10" xfId="0" applyFont="1" applyFill="1" applyBorder="1" applyAlignment="1">
      <alignment horizontal="center" vertical="center" wrapText="1"/>
    </xf>
    <xf numFmtId="0" fontId="20" fillId="4" borderId="11" xfId="0" applyFont="1" applyFill="1" applyBorder="1" applyAlignment="1">
      <alignment horizontal="center" vertical="center" wrapText="1"/>
    </xf>
    <xf numFmtId="164" fontId="20" fillId="4" borderId="11" xfId="0" applyNumberFormat="1" applyFont="1" applyFill="1" applyBorder="1" applyAlignment="1">
      <alignment horizontal="left" vertical="center" wrapText="1"/>
    </xf>
    <xf numFmtId="164" fontId="20" fillId="4" borderId="8" xfId="0" applyNumberFormat="1" applyFont="1" applyFill="1" applyBorder="1" applyAlignment="1">
      <alignment horizontal="left" vertical="center" wrapText="1"/>
    </xf>
    <xf numFmtId="0" fontId="9" fillId="9" borderId="11" xfId="0" applyFont="1" applyFill="1" applyBorder="1" applyAlignment="1">
      <alignment horizontal="center" vertical="center" wrapText="1"/>
    </xf>
    <xf numFmtId="165" fontId="9" fillId="9" borderId="10" xfId="0" applyNumberFormat="1" applyFont="1" applyFill="1" applyBorder="1" applyAlignment="1">
      <alignment horizontal="center" vertical="center" wrapText="1"/>
    </xf>
    <xf numFmtId="0" fontId="0" fillId="9" borderId="12" xfId="0" applyFill="1" applyBorder="1" applyAlignment="1">
      <alignment horizontal="center" vertical="center" wrapText="1"/>
    </xf>
    <xf numFmtId="0" fontId="16" fillId="0" borderId="10" xfId="0" applyFont="1" applyBorder="1" applyAlignment="1">
      <alignment horizontal="left" vertical="center" wrapText="1"/>
    </xf>
    <xf numFmtId="0" fontId="19" fillId="0" borderId="12" xfId="0" applyFont="1" applyBorder="1" applyAlignment="1">
      <alignment horizontal="left" vertical="center" wrapText="1"/>
    </xf>
    <xf numFmtId="0" fontId="9" fillId="0" borderId="10"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10" fillId="9" borderId="26" xfId="0" applyFont="1" applyFill="1" applyBorder="1" applyAlignment="1">
      <alignment horizontal="center" vertical="center" wrapText="1"/>
    </xf>
    <xf numFmtId="0" fontId="10" fillId="9" borderId="44" xfId="0" applyFont="1" applyFill="1" applyBorder="1" applyAlignment="1">
      <alignment horizontal="center" vertical="center" wrapText="1"/>
    </xf>
    <xf numFmtId="0" fontId="5" fillId="10" borderId="1"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5" fillId="10" borderId="7"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0"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4" xfId="0" applyFont="1" applyFill="1" applyBorder="1" applyAlignment="1">
      <alignment horizontal="center" vertical="center"/>
    </xf>
    <xf numFmtId="0" fontId="5" fillId="10" borderId="5" xfId="0" applyFont="1" applyFill="1" applyBorder="1" applyAlignment="1">
      <alignment horizontal="center" vertical="center"/>
    </xf>
    <xf numFmtId="0" fontId="21" fillId="9" borderId="3"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0" xfId="0" applyNumberFormat="1" applyFont="1" applyFill="1" applyBorder="1" applyAlignment="1">
      <alignment horizontal="center" vertical="center" wrapText="1"/>
    </xf>
    <xf numFmtId="0" fontId="3" fillId="3" borderId="12" xfId="0" applyNumberFormat="1" applyFont="1" applyFill="1" applyBorder="1" applyAlignment="1">
      <alignment horizontal="center" vertical="center" wrapText="1"/>
    </xf>
    <xf numFmtId="0" fontId="10" fillId="9" borderId="10" xfId="0" applyFont="1" applyFill="1" applyBorder="1" applyAlignment="1">
      <alignment horizontal="center" vertical="center" wrapText="1"/>
    </xf>
    <xf numFmtId="0" fontId="0" fillId="9" borderId="11" xfId="0" applyFill="1" applyBorder="1" applyAlignment="1">
      <alignment vertical="center" wrapText="1"/>
    </xf>
    <xf numFmtId="0" fontId="0" fillId="9" borderId="12" xfId="0" applyFill="1" applyBorder="1" applyAlignment="1">
      <alignment vertical="center" wrapText="1"/>
    </xf>
    <xf numFmtId="0" fontId="1" fillId="0" borderId="0" xfId="0" applyFont="1" applyAlignment="1">
      <alignment horizontal="left" vertical="center" wrapText="1"/>
    </xf>
    <xf numFmtId="0" fontId="23" fillId="0" borderId="0" xfId="0" applyFont="1" applyBorder="1" applyAlignment="1">
      <alignment horizontal="center"/>
    </xf>
    <xf numFmtId="0" fontId="9" fillId="0" borderId="2" xfId="0" applyFont="1" applyBorder="1" applyAlignment="1">
      <alignment horizontal="left" wrapText="1"/>
    </xf>
    <xf numFmtId="0" fontId="10" fillId="9" borderId="3"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cellXfs>
  <cellStyles count="4">
    <cellStyle name="Currency" xfId="2" builtinId="4"/>
    <cellStyle name="Currency 2" xfId="3"/>
    <cellStyle name="Hyperlink"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7"/>
  <sheetViews>
    <sheetView showGridLines="0" view="pageLayout" zoomScaleNormal="130" zoomScaleSheetLayoutView="100" zoomScalePageLayoutView="130" workbookViewId="0">
      <selection activeCell="D9" sqref="D9"/>
    </sheetView>
  </sheetViews>
  <sheetFormatPr baseColWidth="10" defaultColWidth="8.83203125" defaultRowHeight="11" x14ac:dyDescent="0"/>
  <cols>
    <col min="1" max="1" width="18" style="25" customWidth="1"/>
    <col min="2" max="2" width="19.6640625" style="1" customWidth="1"/>
    <col min="3" max="3" width="17.5" style="1" customWidth="1"/>
    <col min="4" max="6" width="18.5" style="1" customWidth="1"/>
    <col min="7" max="7" width="19.5" style="1" customWidth="1"/>
    <col min="8" max="8" width="18.5" style="1" customWidth="1"/>
    <col min="9" max="9" width="17.6640625" style="1" customWidth="1"/>
    <col min="10" max="10" width="15.5" style="1" customWidth="1"/>
    <col min="11" max="11" width="16.33203125" style="1" customWidth="1"/>
    <col min="12" max="12" width="17.83203125" style="1" customWidth="1"/>
    <col min="13" max="13" width="17.6640625" style="1" customWidth="1"/>
    <col min="14" max="14" width="13.83203125" style="1" customWidth="1"/>
    <col min="15" max="15" width="16.83203125" style="1" customWidth="1"/>
    <col min="16" max="16" width="40.33203125" style="1" bestFit="1" customWidth="1"/>
    <col min="17" max="23" width="16.83203125" style="1" customWidth="1"/>
    <col min="24" max="24" width="27.1640625" style="1" bestFit="1" customWidth="1"/>
    <col min="25" max="25" width="16.83203125" style="1" customWidth="1"/>
    <col min="26" max="26" width="7" style="1" bestFit="1" customWidth="1"/>
    <col min="27" max="16384" width="8.83203125" style="1"/>
  </cols>
  <sheetData>
    <row r="1" spans="1:17" ht="35.25" customHeight="1">
      <c r="A1" s="318" t="s">
        <v>160</v>
      </c>
      <c r="B1" s="318"/>
      <c r="C1" s="318"/>
      <c r="D1" s="318"/>
      <c r="E1" s="318"/>
      <c r="F1" s="318"/>
      <c r="G1" s="318"/>
    </row>
    <row r="2" spans="1:17" ht="43.5" customHeight="1">
      <c r="A2" s="326" t="s">
        <v>154</v>
      </c>
      <c r="B2" s="326"/>
      <c r="C2" s="326"/>
      <c r="D2" s="260"/>
      <c r="E2" s="217"/>
      <c r="F2" s="217"/>
      <c r="G2" s="217"/>
      <c r="H2" s="74"/>
      <c r="I2" s="5"/>
      <c r="J2" s="5"/>
      <c r="K2" s="5"/>
      <c r="L2" s="5"/>
      <c r="M2" s="5"/>
      <c r="N2" s="5"/>
      <c r="O2" s="5"/>
      <c r="P2" s="5"/>
      <c r="Q2" s="5"/>
    </row>
    <row r="3" spans="1:17" ht="30.75" customHeight="1">
      <c r="A3" s="333" t="s">
        <v>138</v>
      </c>
      <c r="B3" s="334"/>
      <c r="C3" s="261" t="s">
        <v>27</v>
      </c>
      <c r="D3" s="335" t="str">
        <f>IF(C3="Yes", " Fill out the rest of this form and refer to the Export to Grid Calculation tab for the incentive calculation.","------")</f>
        <v>------</v>
      </c>
      <c r="E3" s="336"/>
      <c r="F3" s="336"/>
      <c r="G3" s="336"/>
      <c r="I3" s="5"/>
      <c r="J3" s="5"/>
      <c r="K3" s="5"/>
      <c r="L3" s="5"/>
      <c r="M3" s="5"/>
      <c r="N3" s="5"/>
      <c r="O3" s="5"/>
      <c r="P3" s="5"/>
      <c r="Q3" s="5"/>
    </row>
    <row r="4" spans="1:17" ht="22.5" customHeight="1">
      <c r="A4" s="128" t="s">
        <v>112</v>
      </c>
      <c r="B4" s="129" t="s">
        <v>36</v>
      </c>
      <c r="C4" s="129" t="s">
        <v>37</v>
      </c>
      <c r="D4" s="129" t="s">
        <v>38</v>
      </c>
      <c r="E4" s="129" t="s">
        <v>144</v>
      </c>
      <c r="F4" s="129" t="s">
        <v>145</v>
      </c>
      <c r="G4" s="129" t="s">
        <v>39</v>
      </c>
      <c r="H4" s="74"/>
      <c r="I4" s="5"/>
      <c r="J4" s="5"/>
      <c r="K4" s="5"/>
      <c r="L4" s="5"/>
      <c r="M4" s="5"/>
      <c r="N4" s="5"/>
      <c r="O4" s="5"/>
      <c r="P4" s="5"/>
      <c r="Q4" s="5"/>
    </row>
    <row r="5" spans="1:17" ht="22.5" customHeight="1">
      <c r="A5" s="21" t="s">
        <v>109</v>
      </c>
      <c r="B5" s="262"/>
      <c r="C5" s="263"/>
      <c r="D5" s="264"/>
      <c r="E5" s="265"/>
      <c r="F5" s="266"/>
      <c r="G5" s="52"/>
      <c r="I5" s="5"/>
      <c r="J5" s="5"/>
      <c r="K5" s="5"/>
      <c r="L5" s="5"/>
      <c r="M5" s="5"/>
      <c r="N5" s="5"/>
      <c r="O5" s="5"/>
      <c r="P5" s="5"/>
      <c r="Q5" s="5"/>
    </row>
    <row r="6" spans="1:17" ht="22.5" customHeight="1">
      <c r="A6" s="38" t="s">
        <v>108</v>
      </c>
      <c r="B6" s="267"/>
      <c r="C6" s="268"/>
      <c r="D6" s="269"/>
      <c r="E6" s="270"/>
      <c r="F6" s="271"/>
      <c r="G6" s="34"/>
      <c r="I6" s="5"/>
      <c r="J6" s="5"/>
      <c r="K6" s="5"/>
      <c r="L6" s="5"/>
      <c r="M6" s="5"/>
      <c r="N6" s="5"/>
      <c r="O6" s="5"/>
      <c r="P6" s="5"/>
      <c r="Q6" s="5"/>
    </row>
    <row r="7" spans="1:17" ht="22.5" customHeight="1">
      <c r="A7" s="38" t="s">
        <v>21</v>
      </c>
      <c r="B7" s="267"/>
      <c r="C7" s="268"/>
      <c r="D7" s="268"/>
      <c r="E7" s="263"/>
      <c r="F7" s="272"/>
      <c r="G7" s="263"/>
      <c r="I7" s="5"/>
      <c r="J7" s="5"/>
      <c r="K7" s="5"/>
      <c r="L7" s="5"/>
      <c r="M7" s="5"/>
      <c r="N7" s="5"/>
      <c r="O7" s="5"/>
      <c r="P7" s="5"/>
      <c r="Q7" s="5"/>
    </row>
    <row r="8" spans="1:17" ht="22.5" customHeight="1">
      <c r="A8" s="38"/>
      <c r="B8" s="267"/>
      <c r="C8" s="268"/>
      <c r="D8" s="268"/>
      <c r="E8" s="268"/>
      <c r="F8" s="272"/>
      <c r="G8" s="268"/>
      <c r="I8" s="5"/>
      <c r="J8" s="5"/>
      <c r="K8" s="5"/>
      <c r="L8" s="5"/>
      <c r="M8" s="5"/>
      <c r="N8" s="5"/>
      <c r="O8" s="5"/>
      <c r="P8" s="5"/>
      <c r="Q8" s="5"/>
    </row>
    <row r="9" spans="1:17" ht="22.5" customHeight="1">
      <c r="A9" s="38" t="s">
        <v>18</v>
      </c>
      <c r="B9" s="267"/>
      <c r="C9" s="268"/>
      <c r="D9" s="268"/>
      <c r="E9" s="268"/>
      <c r="F9" s="272"/>
      <c r="G9" s="268"/>
      <c r="I9" s="5"/>
      <c r="J9" s="5"/>
      <c r="K9" s="5"/>
      <c r="L9" s="5"/>
      <c r="M9" s="5"/>
      <c r="N9" s="5"/>
      <c r="O9" s="5"/>
      <c r="P9" s="5"/>
      <c r="Q9" s="5"/>
    </row>
    <row r="10" spans="1:17" ht="22.5" customHeight="1">
      <c r="A10" s="38" t="s">
        <v>20</v>
      </c>
      <c r="B10" s="267"/>
      <c r="C10" s="268"/>
      <c r="D10" s="268"/>
      <c r="E10" s="268"/>
      <c r="F10" s="272"/>
      <c r="G10" s="268"/>
      <c r="I10" s="5"/>
      <c r="J10" s="5"/>
      <c r="K10" s="5"/>
      <c r="L10" s="5"/>
      <c r="M10" s="5"/>
      <c r="N10" s="5"/>
      <c r="O10" s="5"/>
      <c r="P10" s="5"/>
      <c r="Q10" s="5"/>
    </row>
    <row r="11" spans="1:17" ht="22.5" customHeight="1">
      <c r="A11" s="38" t="s">
        <v>19</v>
      </c>
      <c r="B11" s="267"/>
      <c r="C11" s="268"/>
      <c r="D11" s="268"/>
      <c r="E11" s="273"/>
      <c r="F11" s="272"/>
      <c r="G11" s="273"/>
      <c r="I11" s="5"/>
      <c r="J11" s="5"/>
      <c r="K11" s="5"/>
      <c r="L11" s="5"/>
      <c r="M11" s="5"/>
      <c r="N11" s="5"/>
      <c r="O11" s="5"/>
      <c r="P11" s="5"/>
      <c r="Q11" s="5"/>
    </row>
    <row r="12" spans="1:17" ht="22.5" customHeight="1">
      <c r="A12" s="38" t="s">
        <v>10</v>
      </c>
      <c r="B12" s="274"/>
      <c r="C12" s="268"/>
      <c r="D12" s="269"/>
      <c r="E12" s="270"/>
      <c r="F12" s="271"/>
      <c r="G12" s="34"/>
      <c r="I12" s="5"/>
      <c r="J12" s="5"/>
      <c r="K12" s="5"/>
      <c r="L12" s="5"/>
      <c r="M12" s="5"/>
      <c r="N12" s="5"/>
      <c r="O12" s="5"/>
      <c r="P12" s="5"/>
      <c r="Q12" s="5"/>
    </row>
    <row r="13" spans="1:17" ht="22.5" customHeight="1">
      <c r="A13" s="38" t="s">
        <v>11</v>
      </c>
      <c r="B13" s="275"/>
      <c r="C13" s="276"/>
      <c r="D13" s="277"/>
      <c r="E13" s="270"/>
      <c r="F13" s="278"/>
      <c r="G13" s="34"/>
      <c r="H13" s="74"/>
      <c r="I13" s="5"/>
      <c r="J13" s="5"/>
      <c r="K13" s="5"/>
      <c r="L13" s="5"/>
      <c r="M13" s="5"/>
      <c r="N13" s="5"/>
      <c r="O13" s="5"/>
      <c r="P13" s="5"/>
      <c r="Q13" s="5"/>
    </row>
    <row r="14" spans="1:17" ht="22.5" customHeight="1">
      <c r="A14" s="38" t="s">
        <v>9</v>
      </c>
      <c r="B14" s="279"/>
      <c r="C14" s="280"/>
      <c r="D14" s="281"/>
      <c r="E14" s="270"/>
      <c r="F14" s="282"/>
      <c r="G14" s="34"/>
      <c r="I14" s="5"/>
      <c r="J14" s="5"/>
      <c r="K14" s="5"/>
      <c r="L14" s="5"/>
      <c r="M14" s="5"/>
      <c r="N14" s="5"/>
      <c r="O14" s="5"/>
      <c r="P14" s="5"/>
      <c r="Q14" s="5"/>
    </row>
    <row r="15" spans="1:17" ht="22.5" customHeight="1">
      <c r="A15" s="38" t="s">
        <v>17</v>
      </c>
      <c r="B15" s="267" t="s">
        <v>16</v>
      </c>
      <c r="C15" s="34"/>
      <c r="D15" s="139"/>
      <c r="E15" s="34"/>
      <c r="F15" s="34"/>
      <c r="G15" s="34"/>
      <c r="H15" s="74"/>
      <c r="I15" s="5"/>
      <c r="J15" s="5"/>
      <c r="K15" s="5"/>
      <c r="L15" s="5"/>
      <c r="M15" s="5"/>
      <c r="N15" s="5"/>
      <c r="O15" s="5"/>
      <c r="P15" s="5"/>
      <c r="Q15" s="5"/>
    </row>
    <row r="16" spans="1:17" ht="22.5" customHeight="1">
      <c r="A16" s="31" t="s">
        <v>22</v>
      </c>
      <c r="B16" s="283"/>
      <c r="C16" s="34"/>
      <c r="D16" s="139"/>
      <c r="E16" s="34"/>
      <c r="F16" s="140"/>
      <c r="G16" s="141"/>
      <c r="I16" s="5"/>
      <c r="J16" s="5"/>
      <c r="K16" s="5"/>
      <c r="L16" s="5"/>
      <c r="M16" s="5"/>
      <c r="N16" s="5"/>
      <c r="O16" s="5"/>
      <c r="P16" s="5"/>
      <c r="Q16" s="5"/>
    </row>
    <row r="17" spans="1:17" ht="22.5" customHeight="1">
      <c r="A17" s="125" t="s">
        <v>143</v>
      </c>
      <c r="B17" s="126"/>
      <c r="C17" s="126"/>
      <c r="D17" s="126"/>
      <c r="E17" s="34"/>
      <c r="F17" s="282"/>
      <c r="G17" s="127"/>
      <c r="I17" s="5"/>
      <c r="J17" s="5"/>
      <c r="K17" s="5"/>
      <c r="L17" s="5"/>
      <c r="M17" s="5"/>
      <c r="N17" s="5"/>
      <c r="O17" s="5"/>
      <c r="P17" s="5"/>
      <c r="Q17" s="5"/>
    </row>
    <row r="18" spans="1:17" ht="16.5" customHeight="1">
      <c r="A18" s="327" t="s">
        <v>80</v>
      </c>
      <c r="B18" s="339"/>
      <c r="C18" s="339"/>
      <c r="D18" s="339"/>
      <c r="E18" s="339"/>
      <c r="F18" s="328"/>
      <c r="G18" s="284" t="s">
        <v>27</v>
      </c>
      <c r="H18" s="75"/>
      <c r="I18" s="5"/>
      <c r="J18" s="5"/>
      <c r="K18" s="5"/>
      <c r="L18" s="5"/>
      <c r="M18" s="5"/>
      <c r="N18" s="5"/>
      <c r="O18" s="5"/>
      <c r="P18" s="5"/>
      <c r="Q18" s="5"/>
    </row>
    <row r="19" spans="1:17" ht="27" customHeight="1">
      <c r="A19" s="324" t="s">
        <v>155</v>
      </c>
      <c r="B19" s="325"/>
      <c r="C19" s="325"/>
      <c r="D19" s="325"/>
      <c r="E19" s="325"/>
      <c r="F19" s="325"/>
      <c r="G19" s="325"/>
      <c r="H19" s="26"/>
      <c r="I19" s="26"/>
      <c r="J19" s="26"/>
      <c r="K19" s="26"/>
      <c r="L19" s="26"/>
      <c r="M19" s="26"/>
      <c r="N19" s="26"/>
      <c r="O19" s="26"/>
      <c r="P19" s="5"/>
      <c r="Q19" s="5"/>
    </row>
    <row r="20" spans="1:17" ht="22.5" customHeight="1">
      <c r="A20" s="130" t="s">
        <v>146</v>
      </c>
      <c r="B20" s="129" t="s">
        <v>40</v>
      </c>
      <c r="C20" s="131" t="s">
        <v>41</v>
      </c>
      <c r="D20" s="132" t="s">
        <v>159</v>
      </c>
      <c r="E20" s="133" t="s">
        <v>142</v>
      </c>
      <c r="F20" s="134" t="s">
        <v>3</v>
      </c>
      <c r="G20" s="5"/>
      <c r="H20" s="5"/>
      <c r="I20" s="5"/>
      <c r="J20" s="5"/>
      <c r="K20" s="5"/>
      <c r="L20" s="5"/>
      <c r="M20" s="5"/>
      <c r="N20" s="5"/>
      <c r="O20" s="5"/>
    </row>
    <row r="21" spans="1:17" ht="22.5" customHeight="1">
      <c r="A21" s="23"/>
      <c r="B21" s="285"/>
      <c r="C21" s="286"/>
      <c r="D21" s="37" t="s">
        <v>157</v>
      </c>
      <c r="E21" s="289" t="s">
        <v>27</v>
      </c>
      <c r="F21" s="290" t="s">
        <v>27</v>
      </c>
      <c r="G21" s="5"/>
      <c r="H21" s="5"/>
      <c r="I21" s="5"/>
      <c r="J21" s="5"/>
      <c r="K21" s="5"/>
      <c r="L21" s="5"/>
      <c r="M21" s="5"/>
      <c r="N21" s="5"/>
      <c r="O21" s="5"/>
    </row>
    <row r="22" spans="1:17" ht="3" customHeight="1">
      <c r="A22" s="67"/>
      <c r="B22" s="68"/>
      <c r="C22" s="69"/>
      <c r="D22" s="123"/>
      <c r="E22" s="124"/>
      <c r="F22" s="124"/>
      <c r="G22" s="5"/>
      <c r="H22" s="5"/>
      <c r="I22" s="5"/>
      <c r="J22" s="5"/>
      <c r="K22" s="5"/>
      <c r="L22" s="5"/>
      <c r="M22" s="5"/>
      <c r="N22" s="5"/>
      <c r="O22" s="5"/>
    </row>
    <row r="23" spans="1:17" ht="36.75" customHeight="1">
      <c r="A23" s="37" t="s">
        <v>95</v>
      </c>
      <c r="B23" s="287"/>
      <c r="C23" s="32"/>
      <c r="D23" s="37" t="s">
        <v>158</v>
      </c>
      <c r="E23" s="291"/>
      <c r="F23" s="292"/>
      <c r="G23" s="5"/>
      <c r="H23" s="5"/>
      <c r="I23" s="5"/>
      <c r="J23" s="5"/>
      <c r="K23" s="5"/>
      <c r="L23" s="5"/>
      <c r="M23" s="5"/>
      <c r="N23" s="5"/>
      <c r="O23" s="5"/>
    </row>
    <row r="24" spans="1:17" ht="22.5" customHeight="1">
      <c r="A24" s="36" t="s">
        <v>94</v>
      </c>
      <c r="B24" s="288"/>
      <c r="C24" s="33"/>
      <c r="D24" s="23"/>
      <c r="E24" s="293"/>
      <c r="F24" s="294"/>
      <c r="G24" s="5"/>
      <c r="H24" s="5"/>
      <c r="I24" s="5"/>
      <c r="J24" s="5"/>
      <c r="K24" s="5"/>
      <c r="L24" s="5"/>
      <c r="M24" s="5"/>
      <c r="N24" s="5"/>
      <c r="O24" s="5"/>
    </row>
    <row r="25" spans="1:17" ht="22.5" customHeight="1">
      <c r="A25" s="135" t="s">
        <v>45</v>
      </c>
      <c r="B25" s="136">
        <f>SUM(B21:B21)-B23+B24</f>
        <v>0</v>
      </c>
      <c r="C25" s="137">
        <f>SUM(C21:C21)</f>
        <v>0</v>
      </c>
      <c r="D25" s="138"/>
      <c r="E25" s="136">
        <f>SUM(E23:E24)</f>
        <v>0</v>
      </c>
      <c r="F25" s="136">
        <f>SUM(F23:F24)</f>
        <v>0</v>
      </c>
      <c r="G25" s="5"/>
      <c r="H25" s="5"/>
      <c r="I25" s="5"/>
      <c r="J25" s="5"/>
      <c r="K25" s="5"/>
      <c r="L25" s="5"/>
      <c r="M25" s="5"/>
      <c r="N25" s="5"/>
      <c r="O25" s="5"/>
    </row>
    <row r="26" spans="1:17" ht="24" customHeight="1">
      <c r="A26" s="342" t="s">
        <v>168</v>
      </c>
      <c r="B26" s="325"/>
      <c r="C26" s="325"/>
      <c r="D26" s="325"/>
      <c r="E26" s="325"/>
      <c r="F26" s="325"/>
      <c r="G26" s="343"/>
      <c r="H26" s="74"/>
      <c r="I26" s="5"/>
      <c r="J26" s="5"/>
      <c r="K26" s="5"/>
      <c r="L26" s="5"/>
      <c r="M26" s="5"/>
      <c r="N26" s="5"/>
      <c r="O26" s="5"/>
      <c r="P26" s="5"/>
      <c r="Q26" s="5"/>
    </row>
    <row r="27" spans="1:17">
      <c r="A27" s="307" t="s">
        <v>169</v>
      </c>
      <c r="B27" s="311" t="s">
        <v>27</v>
      </c>
      <c r="C27" s="308" t="s">
        <v>170</v>
      </c>
      <c r="D27" s="311"/>
      <c r="E27" s="308" t="s">
        <v>171</v>
      </c>
      <c r="F27" s="344"/>
      <c r="G27" s="345"/>
      <c r="H27" s="5"/>
      <c r="I27" s="5"/>
      <c r="J27" s="5"/>
      <c r="K27" s="5"/>
      <c r="L27" s="5"/>
      <c r="M27" s="5"/>
      <c r="N27" s="5"/>
      <c r="O27" s="5"/>
      <c r="P27" s="5"/>
      <c r="Q27" s="5"/>
    </row>
    <row r="28" spans="1:17" ht="22.5" customHeight="1">
      <c r="A28" s="132" t="s">
        <v>113</v>
      </c>
      <c r="B28" s="142" t="s">
        <v>25</v>
      </c>
      <c r="C28" s="143" t="s">
        <v>26</v>
      </c>
      <c r="D28" s="143" t="s">
        <v>33</v>
      </c>
      <c r="E28" s="143"/>
      <c r="F28" s="142"/>
      <c r="G28" s="144"/>
      <c r="I28" s="5"/>
      <c r="J28" s="5"/>
      <c r="K28" s="5"/>
      <c r="L28" s="5"/>
      <c r="M28" s="5"/>
      <c r="N28" s="5"/>
      <c r="O28" s="5"/>
      <c r="P28" s="5"/>
      <c r="Q28" s="5"/>
    </row>
    <row r="29" spans="1:17" ht="22.5" customHeight="1">
      <c r="A29" s="39"/>
      <c r="B29" s="295" t="s">
        <v>27</v>
      </c>
      <c r="C29" s="263" t="s">
        <v>27</v>
      </c>
      <c r="D29" s="263" t="s">
        <v>27</v>
      </c>
      <c r="E29" s="5"/>
      <c r="F29" s="5"/>
      <c r="G29" s="6"/>
      <c r="H29" s="74"/>
      <c r="I29" s="5"/>
      <c r="J29" s="5"/>
      <c r="K29" s="5"/>
      <c r="L29" s="5"/>
      <c r="M29" s="5"/>
      <c r="N29" s="5"/>
      <c r="O29" s="5"/>
      <c r="P29" s="5"/>
      <c r="Q29" s="5"/>
    </row>
    <row r="30" spans="1:17" ht="22.5" customHeight="1">
      <c r="A30" s="39"/>
      <c r="B30" s="144" t="s">
        <v>74</v>
      </c>
      <c r="C30" s="143" t="s">
        <v>42</v>
      </c>
      <c r="D30" s="143" t="s">
        <v>43</v>
      </c>
      <c r="E30" s="143" t="s">
        <v>127</v>
      </c>
      <c r="F30" s="143" t="s">
        <v>44</v>
      </c>
      <c r="G30" s="145" t="s">
        <v>128</v>
      </c>
      <c r="I30" s="5"/>
      <c r="J30" s="5"/>
      <c r="K30" s="5"/>
      <c r="L30" s="5"/>
      <c r="M30" s="5"/>
      <c r="N30" s="5"/>
      <c r="O30" s="5"/>
      <c r="P30" s="5"/>
      <c r="Q30" s="5"/>
    </row>
    <row r="31" spans="1:17" ht="22.5" customHeight="1">
      <c r="A31" s="39"/>
      <c r="B31" s="289" t="s">
        <v>27</v>
      </c>
      <c r="C31" s="296"/>
      <c r="D31" s="264"/>
      <c r="E31" s="263"/>
      <c r="F31" s="263"/>
      <c r="G31" s="146">
        <f>E31*F31</f>
        <v>0</v>
      </c>
      <c r="H31" s="74"/>
      <c r="I31" s="5"/>
      <c r="J31" s="5"/>
      <c r="K31" s="5"/>
      <c r="L31" s="5"/>
      <c r="M31" s="5"/>
      <c r="N31" s="5"/>
      <c r="O31" s="5"/>
      <c r="P31" s="5"/>
      <c r="Q31" s="5"/>
    </row>
    <row r="32" spans="1:17" ht="22.5" customHeight="1">
      <c r="A32" s="39"/>
      <c r="B32" s="93"/>
      <c r="C32" s="94"/>
      <c r="D32" s="264"/>
      <c r="E32" s="263"/>
      <c r="F32" s="263"/>
      <c r="G32" s="146">
        <f t="shared" ref="G32" si="0">E32*F32</f>
        <v>0</v>
      </c>
      <c r="I32" s="5"/>
      <c r="J32" s="5"/>
      <c r="K32" s="5"/>
      <c r="L32" s="5"/>
      <c r="M32" s="5"/>
      <c r="N32" s="5"/>
      <c r="O32" s="5"/>
      <c r="P32" s="5"/>
      <c r="Q32" s="5"/>
    </row>
    <row r="33" spans="1:17" ht="22.5" customHeight="1">
      <c r="A33" s="39"/>
      <c r="B33" s="95"/>
      <c r="C33" s="96"/>
      <c r="D33" s="269"/>
      <c r="E33" s="268"/>
      <c r="F33" s="268"/>
      <c r="G33" s="147">
        <f>E33*F33</f>
        <v>0</v>
      </c>
      <c r="I33" s="5"/>
      <c r="J33" s="5"/>
      <c r="K33" s="5"/>
      <c r="L33" s="5"/>
      <c r="M33" s="5"/>
      <c r="N33" s="5"/>
      <c r="O33" s="5"/>
      <c r="P33" s="5"/>
      <c r="Q33" s="5"/>
    </row>
    <row r="34" spans="1:17" ht="22.5" customHeight="1">
      <c r="A34" s="149" t="s">
        <v>45</v>
      </c>
      <c r="B34" s="150"/>
      <c r="C34" s="151"/>
      <c r="D34" s="151"/>
      <c r="E34" s="152"/>
      <c r="F34" s="153">
        <f>SUM(F31:F33)</f>
        <v>0</v>
      </c>
      <c r="G34" s="148">
        <f>SUM(G31:G33)</f>
        <v>0</v>
      </c>
      <c r="I34" s="5"/>
      <c r="J34" s="5"/>
      <c r="K34" s="5"/>
      <c r="L34" s="5"/>
      <c r="M34" s="5"/>
      <c r="N34" s="5"/>
      <c r="O34" s="5"/>
      <c r="P34" s="5"/>
      <c r="Q34" s="5"/>
    </row>
    <row r="35" spans="1:17" s="20" customFormat="1">
      <c r="A35" s="48"/>
      <c r="B35" s="26"/>
      <c r="C35" s="26"/>
      <c r="D35" s="16"/>
      <c r="E35" s="16"/>
      <c r="F35" s="16"/>
      <c r="G35" s="16"/>
      <c r="H35" s="3"/>
      <c r="I35" s="28"/>
      <c r="J35" s="28"/>
      <c r="K35" s="26"/>
      <c r="L35" s="26"/>
      <c r="M35" s="16"/>
      <c r="N35" s="16"/>
      <c r="O35" s="16"/>
      <c r="P35" s="16"/>
      <c r="Q35" s="16"/>
    </row>
    <row r="36" spans="1:17" s="20" customFormat="1" ht="21.75" customHeight="1">
      <c r="A36" s="132" t="s">
        <v>71</v>
      </c>
      <c r="B36" s="154"/>
      <c r="C36" s="155"/>
      <c r="D36" s="327" t="s">
        <v>102</v>
      </c>
      <c r="E36" s="328"/>
      <c r="F36" s="156"/>
      <c r="G36" s="157"/>
      <c r="I36" s="16"/>
      <c r="J36" s="16"/>
      <c r="K36" s="16"/>
      <c r="L36" s="16"/>
      <c r="M36" s="16"/>
      <c r="N36" s="16"/>
      <c r="O36" s="16"/>
      <c r="P36" s="16"/>
      <c r="Q36" s="16"/>
    </row>
    <row r="37" spans="1:17" s="20" customFormat="1" ht="22.5" customHeight="1">
      <c r="A37" s="7"/>
      <c r="B37" s="157" t="s">
        <v>115</v>
      </c>
      <c r="C37" s="158" t="s">
        <v>73</v>
      </c>
      <c r="D37" s="145" t="s">
        <v>57</v>
      </c>
      <c r="E37" s="145" t="s">
        <v>58</v>
      </c>
      <c r="F37" s="129" t="s">
        <v>116</v>
      </c>
      <c r="G37" s="159"/>
      <c r="I37" s="16"/>
      <c r="J37" s="16"/>
      <c r="K37" s="16"/>
      <c r="L37" s="16"/>
      <c r="M37" s="16"/>
      <c r="N37" s="16"/>
      <c r="O37" s="16"/>
      <c r="P37" s="16"/>
      <c r="Q37" s="16"/>
    </row>
    <row r="38" spans="1:17" s="20" customFormat="1" ht="21.75" customHeight="1">
      <c r="A38" s="55"/>
      <c r="B38" s="297"/>
      <c r="C38" s="298"/>
      <c r="D38" s="299"/>
      <c r="E38" s="299"/>
      <c r="F38" s="299"/>
      <c r="G38" s="166"/>
      <c r="H38" s="16"/>
      <c r="I38" s="16"/>
      <c r="J38" s="16"/>
      <c r="K38" s="16"/>
      <c r="L38" s="16"/>
      <c r="M38" s="16"/>
      <c r="N38" s="16"/>
      <c r="O38" s="16"/>
      <c r="P38" s="16"/>
      <c r="Q38" s="16"/>
    </row>
    <row r="39" spans="1:17" s="20" customFormat="1">
      <c r="A39" s="48"/>
      <c r="B39" s="29"/>
      <c r="C39" s="40"/>
      <c r="D39" s="29"/>
      <c r="E39" s="29"/>
      <c r="F39" s="29"/>
      <c r="G39" s="29"/>
      <c r="H39" s="41"/>
      <c r="I39" s="41"/>
      <c r="J39" s="42"/>
      <c r="K39" s="42"/>
      <c r="L39" s="42"/>
      <c r="M39" s="42"/>
      <c r="N39" s="16"/>
      <c r="O39" s="16"/>
      <c r="P39" s="16"/>
      <c r="Q39" s="16"/>
    </row>
    <row r="40" spans="1:17" s="20" customFormat="1" ht="22">
      <c r="A40" s="128" t="s">
        <v>114</v>
      </c>
      <c r="B40" s="159" t="s">
        <v>7</v>
      </c>
      <c r="C40" s="160" t="s">
        <v>8</v>
      </c>
      <c r="D40" s="340" t="s">
        <v>21</v>
      </c>
      <c r="E40" s="341"/>
      <c r="F40" s="161" t="s">
        <v>10</v>
      </c>
      <c r="G40" s="161" t="s">
        <v>11</v>
      </c>
      <c r="H40" s="41"/>
      <c r="I40" s="41"/>
      <c r="J40" s="42"/>
      <c r="K40" s="42"/>
      <c r="L40" s="42"/>
      <c r="M40" s="42"/>
      <c r="N40" s="16"/>
      <c r="O40" s="16"/>
      <c r="P40" s="16"/>
      <c r="Q40" s="16"/>
    </row>
    <row r="41" spans="1:17" s="20" customFormat="1" ht="22.5" customHeight="1">
      <c r="A41" s="83"/>
      <c r="B41" s="300"/>
      <c r="C41" s="301"/>
      <c r="D41" s="322"/>
      <c r="E41" s="323"/>
      <c r="F41" s="301"/>
      <c r="G41" s="302"/>
      <c r="H41" s="41"/>
      <c r="I41" s="41"/>
      <c r="J41" s="42"/>
      <c r="K41" s="42"/>
      <c r="L41" s="42"/>
      <c r="M41" s="42"/>
      <c r="N41" s="16"/>
      <c r="O41" s="16"/>
      <c r="P41" s="16"/>
      <c r="Q41" s="16"/>
    </row>
    <row r="42" spans="1:17" s="20" customFormat="1" ht="23.25" customHeight="1">
      <c r="A42" s="82"/>
      <c r="B42" s="162" t="s">
        <v>81</v>
      </c>
      <c r="C42" s="162" t="s">
        <v>75</v>
      </c>
      <c r="D42" s="162" t="s">
        <v>82</v>
      </c>
      <c r="E42" s="163" t="s">
        <v>134</v>
      </c>
      <c r="F42" s="162"/>
      <c r="G42" s="162"/>
      <c r="H42" s="16"/>
      <c r="I42" s="16"/>
      <c r="J42" s="16"/>
      <c r="K42" s="16"/>
      <c r="L42" s="16"/>
      <c r="M42" s="16"/>
      <c r="N42" s="16"/>
      <c r="O42" s="16"/>
      <c r="P42" s="16"/>
    </row>
    <row r="43" spans="1:17" s="20" customFormat="1" ht="21.75" customHeight="1">
      <c r="A43" s="2"/>
      <c r="B43" s="303"/>
      <c r="C43" s="304"/>
      <c r="D43" s="305"/>
      <c r="E43" s="165">
        <f>VLOOKUP(B29,Data!H4:J14,3,FALSE)*8760*C43*G34/1000000</f>
        <v>0</v>
      </c>
      <c r="F43" s="97"/>
      <c r="G43" s="84"/>
      <c r="H43" s="16"/>
      <c r="I43" s="16"/>
      <c r="J43" s="16"/>
      <c r="K43" s="16"/>
      <c r="L43" s="16"/>
      <c r="M43" s="16"/>
      <c r="N43" s="16"/>
      <c r="O43" s="16"/>
      <c r="P43" s="16"/>
    </row>
    <row r="44" spans="1:17" s="16" customFormat="1" ht="34.5" customHeight="1">
      <c r="A44" s="337" t="str">
        <f>IF(C3="Yes", "Because you have elected to export electricity to the grid refer to the Export to Grid Calculation tab for your incentive calculation.","------")</f>
        <v>------</v>
      </c>
      <c r="B44" s="338"/>
      <c r="C44" s="338"/>
      <c r="D44" s="338"/>
      <c r="E44" s="338"/>
      <c r="F44" s="338"/>
      <c r="G44" s="338"/>
    </row>
    <row r="45" spans="1:17" s="20" customFormat="1" ht="21" customHeight="1">
      <c r="A45" s="132" t="s">
        <v>67</v>
      </c>
      <c r="B45" s="144" t="s">
        <v>50</v>
      </c>
      <c r="C45" s="145" t="s">
        <v>51</v>
      </c>
      <c r="D45" s="145" t="s">
        <v>68</v>
      </c>
      <c r="E45" s="143" t="s">
        <v>45</v>
      </c>
      <c r="F45" s="164"/>
      <c r="G45" s="155"/>
      <c r="H45" s="77"/>
      <c r="I45" s="16"/>
    </row>
    <row r="46" spans="1:17" s="20" customFormat="1" ht="21" customHeight="1">
      <c r="A46" s="4" t="s">
        <v>103</v>
      </c>
      <c r="B46" s="167">
        <f>IF(C3="YES","------",VLOOKUP($B$29,Data!$H$4:$I$14,2,FALSE))</f>
        <v>0</v>
      </c>
      <c r="C46" s="168">
        <f>ROUND(B46/2,2)</f>
        <v>0</v>
      </c>
      <c r="D46" s="168">
        <f>ROUND(C46/2,2)</f>
        <v>0</v>
      </c>
      <c r="E46" s="169"/>
      <c r="F46" s="170"/>
      <c r="G46" s="171"/>
      <c r="I46" s="16"/>
    </row>
    <row r="47" spans="1:17" s="20" customFormat="1" ht="21" customHeight="1">
      <c r="A47" s="8" t="s">
        <v>105</v>
      </c>
      <c r="B47" s="172">
        <f>IF(B29="Advanced Energy Storage"=TRUE,IF(F25+G34&lt;1000,G34,IF(1000-F25&lt;0,0,1000-F25)),IF(E25+G34&lt;1000,G34,IF(1000-E25&lt;0,0,1000-E25)))</f>
        <v>0</v>
      </c>
      <c r="C47" s="173">
        <f>IF(B29="Advanced Energy Storage"=TRUE, IF(G34-B47+C48&lt;1000,G34-B47,IF(G34-B47+C48&gt;1000, 1000-C48, IF(G34-B47&lt;1000,G34-B47,1000))), IF(G34-B47+C48&lt;1000,G34-B47,IF(G34-B47+C48&gt;1000, 1000-C48, IF(G34-B47&lt;1000,G34-B47,1000))))</f>
        <v>0</v>
      </c>
      <c r="D47" s="173">
        <f>IF(B29="Advanced Energy Storage"=TRUE, IF(G34-C47-B47+D48&lt;1000,G34-C47-B47,IF(G34-C47-B47+D48&gt;1000, 1000-D48, IF(G34-C47-B47&lt;1000,G34-C47-B47,1000))),  IF(G34-C47-B47+D48&lt;1000,G34-C47-B47,IF(G34-C47-B47+D48&gt;1000, 1000-D48, IF(G34-C47-B47&lt;1000,G34-C47-B47,1000))))</f>
        <v>0</v>
      </c>
      <c r="E47" s="174">
        <f>SUM(B47:D47)</f>
        <v>0</v>
      </c>
      <c r="F47" s="175"/>
      <c r="G47" s="176"/>
      <c r="H47" s="77"/>
      <c r="I47" s="16"/>
    </row>
    <row r="48" spans="1:17" s="20" customFormat="1" ht="22.5" customHeight="1">
      <c r="A48" s="8" t="s">
        <v>106</v>
      </c>
      <c r="B48" s="172">
        <f>IF($B$29="Advanced Energy Storage"=TRUE,IF(F25&gt;1000,1000,F25),IF(E25&gt;1000,1000,E25))</f>
        <v>0</v>
      </c>
      <c r="C48" s="172">
        <f>IF($B$29="Advanced Energy Storage"=TRUE,IF(F25&gt;2000,1000,F25-B48),IF(E25&gt;2000,1000,E25-B48))</f>
        <v>0</v>
      </c>
      <c r="D48" s="173">
        <f>IF($B$29="Advanced Energy Storage"=TRUE,IF(F25-B48-C48&gt;1000,1000,F25-B48-C48),IF(E25-B48-C48&gt;1000,1000,E25-B48-C48))</f>
        <v>0</v>
      </c>
      <c r="E48" s="174">
        <f>SUM(B48:D48)</f>
        <v>0</v>
      </c>
      <c r="F48" s="175"/>
      <c r="G48" s="176"/>
      <c r="H48" s="77"/>
      <c r="I48" s="16"/>
    </row>
    <row r="49" spans="1:18" s="20" customFormat="1" ht="22.5" customHeight="1">
      <c r="A49" s="8" t="s">
        <v>107</v>
      </c>
      <c r="B49" s="177">
        <f>B47+B48</f>
        <v>0</v>
      </c>
      <c r="C49" s="178">
        <f t="shared" ref="C49" si="1">C47+C48</f>
        <v>0</v>
      </c>
      <c r="D49" s="178">
        <f t="shared" ref="D49" si="2">D47+D48</f>
        <v>0</v>
      </c>
      <c r="E49" s="179">
        <f>SUM(B49:D49)</f>
        <v>0</v>
      </c>
      <c r="F49" s="180"/>
      <c r="G49" s="181"/>
      <c r="H49" s="77"/>
    </row>
    <row r="50" spans="1:18" s="20" customFormat="1" ht="3" customHeight="1">
      <c r="A50" s="62"/>
      <c r="B50" s="63"/>
      <c r="C50" s="64"/>
      <c r="D50" s="64"/>
      <c r="E50" s="64"/>
      <c r="F50" s="65"/>
      <c r="G50" s="66"/>
    </row>
    <row r="51" spans="1:18" s="20" customFormat="1" ht="21" customHeight="1">
      <c r="A51" s="9" t="s">
        <v>64</v>
      </c>
      <c r="B51" s="167">
        <f>1000*($B$46*$B$47)</f>
        <v>0</v>
      </c>
      <c r="C51" s="168">
        <f>1000*($C$46*$C$47)</f>
        <v>0</v>
      </c>
      <c r="D51" s="168">
        <f>1000*($D$46*$D$47)</f>
        <v>0</v>
      </c>
      <c r="E51" s="182">
        <f>SUM($B$51,$C$51,$D$51)</f>
        <v>0</v>
      </c>
      <c r="F51" s="183"/>
      <c r="G51" s="184"/>
    </row>
    <row r="52" spans="1:18" s="20" customFormat="1" ht="21" customHeight="1">
      <c r="A52" s="9" t="s">
        <v>65</v>
      </c>
      <c r="B52" s="185" t="str">
        <f>IF(B31="YES",1.2*1000*($B$46*$B$47)-B51,"0")</f>
        <v>0</v>
      </c>
      <c r="C52" s="186" t="str">
        <f>IF(B31="YES",1.2*1000*($C$46*$C$47)-C51,"0")</f>
        <v>0</v>
      </c>
      <c r="D52" s="186" t="str">
        <f>IF(B31="YES",1.2*1000*($D$46*$D$47)-D51,"0")</f>
        <v>0</v>
      </c>
      <c r="E52" s="187" t="str">
        <f>IF($B$31="YES",1.2*SUM($B$51,$C$51,$D$51)-E51,"0")</f>
        <v>0</v>
      </c>
      <c r="F52" s="188"/>
      <c r="G52" s="189"/>
    </row>
    <row r="53" spans="1:18" s="20" customFormat="1" ht="21" customHeight="1">
      <c r="A53" s="9" t="s">
        <v>133</v>
      </c>
      <c r="B53" s="185"/>
      <c r="C53" s="186"/>
      <c r="D53" s="186"/>
      <c r="E53" s="190">
        <f>G66</f>
        <v>0</v>
      </c>
      <c r="F53" s="329"/>
      <c r="G53" s="330"/>
    </row>
    <row r="54" spans="1:18" s="20" customFormat="1" ht="21" customHeight="1">
      <c r="A54" s="9" t="s">
        <v>66</v>
      </c>
      <c r="B54" s="191"/>
      <c r="C54" s="192"/>
      <c r="D54" s="192"/>
      <c r="E54" s="193">
        <f>IF(E51+E52+E53&lt;0,0,E51+E52+E53)</f>
        <v>0</v>
      </c>
      <c r="F54" s="194"/>
      <c r="G54" s="195"/>
    </row>
    <row r="55" spans="1:18" s="20" customFormat="1" ht="21" customHeight="1">
      <c r="A55" s="132" t="s">
        <v>56</v>
      </c>
      <c r="B55" s="145" t="s">
        <v>50</v>
      </c>
      <c r="C55" s="145" t="s">
        <v>51</v>
      </c>
      <c r="D55" s="145" t="s">
        <v>68</v>
      </c>
      <c r="E55" s="145" t="s">
        <v>45</v>
      </c>
      <c r="F55" s="154"/>
      <c r="G55" s="155"/>
    </row>
    <row r="56" spans="1:18" s="20" customFormat="1" ht="21" customHeight="1">
      <c r="A56" s="4" t="s">
        <v>103</v>
      </c>
      <c r="B56" s="167">
        <f>IF(C3="YES", 0, IF(OR($C$29="Landfill Gas", C29="Digester Gas", C29="Gas derived from biomass"),Data!$M$4,0))</f>
        <v>0</v>
      </c>
      <c r="C56" s="168">
        <f>ROUND(B56/2,2)</f>
        <v>0</v>
      </c>
      <c r="D56" s="168">
        <f>ROUND(C56/2,2)</f>
        <v>0</v>
      </c>
      <c r="E56" s="196"/>
      <c r="F56" s="197"/>
      <c r="G56" s="171"/>
    </row>
    <row r="57" spans="1:18" ht="21" customHeight="1">
      <c r="A57" s="8" t="s">
        <v>104</v>
      </c>
      <c r="B57" s="177">
        <f>IF(AND(NOT(B29="Wind Turbine"),NOT(B29="Advanced Energy Storage"),NOT(B29="Pressure Reduction Turbine"),NOT(B29="Waste Heat to Power"),OR($C$29="Landfill Gas", C29="Digester Gas", C29="Gas derived from biomass")),B47,0)</f>
        <v>0</v>
      </c>
      <c r="C57" s="178">
        <f>IF(AND(NOT(B29="Wind Turbine"),NOT(B29="Advanced Energy Storage"),NOT(B29="Pressure Reduction Turbine"),NOT(B29="Waste Heat to Power"),OR($C$29="Landfill Gas", C29="Digester Gas", C29="Gas derived from biomass")),C47,0)</f>
        <v>0</v>
      </c>
      <c r="D57" s="178">
        <f>IF(AND(NOT(B29="Wind Turbine"),NOT(B29="Advanced Energy Storage"),NOT(B29="Pressure Reduction Turbine"),NOT(B29="Waste Heat to Power"),OR($C$29="Landfill Gas", C29="Digester Gas", C29="Gas derived from biomass")),D47,0)</f>
        <v>0</v>
      </c>
      <c r="E57" s="198">
        <f>SUM(B57:D57)</f>
        <v>0</v>
      </c>
      <c r="F57" s="197"/>
      <c r="G57" s="171"/>
    </row>
    <row r="58" spans="1:18" ht="3" customHeight="1">
      <c r="A58" s="59"/>
      <c r="B58" s="60"/>
      <c r="C58" s="60"/>
      <c r="D58" s="60"/>
      <c r="E58" s="60"/>
      <c r="F58" s="60"/>
      <c r="G58" s="61"/>
      <c r="I58" s="5"/>
      <c r="J58" s="5"/>
      <c r="K58" s="5"/>
      <c r="L58" s="5"/>
      <c r="M58" s="5"/>
      <c r="N58" s="5"/>
      <c r="O58" s="5"/>
      <c r="P58" s="5"/>
      <c r="Q58" s="5"/>
      <c r="R58" s="5"/>
    </row>
    <row r="59" spans="1:18" ht="21" customHeight="1">
      <c r="A59" s="9" t="s">
        <v>64</v>
      </c>
      <c r="B59" s="167">
        <f>1000*(B56*B57)</f>
        <v>0</v>
      </c>
      <c r="C59" s="168">
        <f>1000*(C56*C57)</f>
        <v>0</v>
      </c>
      <c r="D59" s="168">
        <f>1000*(D56*D57)</f>
        <v>0</v>
      </c>
      <c r="E59" s="199">
        <f>SUM(B59:D59)</f>
        <v>0</v>
      </c>
      <c r="F59" s="200"/>
      <c r="G59" s="189"/>
      <c r="I59" s="5"/>
      <c r="J59" s="5"/>
      <c r="K59" s="5"/>
      <c r="L59" s="5"/>
      <c r="M59" s="5"/>
      <c r="N59" s="5"/>
      <c r="O59" s="5"/>
      <c r="P59" s="5"/>
      <c r="Q59" s="5"/>
      <c r="R59" s="5"/>
    </row>
    <row r="60" spans="1:18" ht="21" customHeight="1">
      <c r="A60" s="9" t="s">
        <v>121</v>
      </c>
      <c r="B60" s="185"/>
      <c r="C60" s="186"/>
      <c r="D60" s="186"/>
      <c r="E60" s="201">
        <f>G67</f>
        <v>0</v>
      </c>
      <c r="F60" s="331"/>
      <c r="G60" s="332"/>
      <c r="I60" s="5"/>
      <c r="J60" s="5"/>
      <c r="K60" s="5"/>
      <c r="L60" s="5"/>
      <c r="M60" s="5"/>
      <c r="N60" s="5"/>
      <c r="O60" s="5"/>
      <c r="P60" s="5"/>
      <c r="Q60" s="5"/>
      <c r="R60" s="5"/>
    </row>
    <row r="61" spans="1:18" ht="21" customHeight="1">
      <c r="A61" s="9" t="s">
        <v>89</v>
      </c>
      <c r="B61" s="191"/>
      <c r="C61" s="192"/>
      <c r="D61" s="192"/>
      <c r="E61" s="202">
        <f>IF(E59+E60&lt;0,0,E59+E60)</f>
        <v>0</v>
      </c>
      <c r="F61" s="203"/>
      <c r="G61" s="204"/>
      <c r="I61" s="5"/>
      <c r="J61" s="5"/>
      <c r="K61" s="5"/>
      <c r="L61" s="5"/>
      <c r="M61" s="5"/>
      <c r="N61" s="5"/>
      <c r="O61" s="5"/>
      <c r="P61" s="5"/>
      <c r="Q61" s="5"/>
      <c r="R61" s="5"/>
    </row>
    <row r="62" spans="1:18" ht="3" customHeight="1">
      <c r="A62" s="56"/>
      <c r="B62" s="57"/>
      <c r="C62" s="57"/>
      <c r="D62" s="57"/>
      <c r="E62" s="57"/>
      <c r="F62" s="57"/>
      <c r="G62" s="58"/>
      <c r="I62" s="5"/>
      <c r="J62" s="5"/>
      <c r="K62" s="5"/>
      <c r="L62" s="5"/>
      <c r="M62" s="5"/>
      <c r="N62" s="5"/>
      <c r="O62" s="5"/>
      <c r="P62" s="5"/>
      <c r="Q62" s="5"/>
      <c r="R62" s="5"/>
    </row>
    <row r="63" spans="1:18" ht="21" customHeight="1">
      <c r="A63" s="9" t="s">
        <v>69</v>
      </c>
      <c r="B63" s="205"/>
      <c r="C63" s="206"/>
      <c r="D63" s="206"/>
      <c r="E63" s="207">
        <f>IF(E54&lt;=0,E61,E61+E54)</f>
        <v>0</v>
      </c>
      <c r="F63" s="200"/>
      <c r="G63" s="189"/>
      <c r="I63" s="5"/>
      <c r="J63" s="5"/>
      <c r="K63" s="5"/>
      <c r="L63" s="5"/>
      <c r="M63" s="5"/>
      <c r="N63" s="5"/>
      <c r="O63" s="5"/>
      <c r="P63" s="5"/>
      <c r="Q63" s="5"/>
      <c r="R63" s="5"/>
    </row>
    <row r="64" spans="1:18" ht="21" customHeight="1">
      <c r="A64" s="208" t="s">
        <v>119</v>
      </c>
      <c r="B64" s="364"/>
      <c r="C64" s="365"/>
      <c r="D64" s="365"/>
      <c r="E64" s="365"/>
      <c r="F64" s="365"/>
      <c r="G64" s="366"/>
      <c r="H64" s="74"/>
      <c r="I64" s="5"/>
      <c r="J64" s="5"/>
      <c r="K64" s="5"/>
      <c r="L64" s="5"/>
      <c r="M64" s="5"/>
      <c r="N64" s="5"/>
      <c r="O64" s="5"/>
      <c r="P64" s="5"/>
      <c r="Q64" s="5"/>
      <c r="R64" s="5"/>
    </row>
    <row r="65" spans="1:18" hidden="1">
      <c r="A65" s="85"/>
      <c r="B65" s="86"/>
      <c r="C65" s="10" t="s">
        <v>83</v>
      </c>
      <c r="D65" s="11" t="s">
        <v>84</v>
      </c>
      <c r="E65" s="10" t="s">
        <v>88</v>
      </c>
      <c r="F65" s="11" t="s">
        <v>86</v>
      </c>
      <c r="G65" s="10" t="s">
        <v>61</v>
      </c>
      <c r="I65" s="5"/>
      <c r="J65" s="5"/>
      <c r="K65" s="5"/>
      <c r="L65" s="5"/>
      <c r="M65" s="5"/>
      <c r="N65" s="5"/>
      <c r="O65" s="5"/>
      <c r="P65" s="5"/>
      <c r="Q65" s="5"/>
      <c r="R65" s="5"/>
    </row>
    <row r="66" spans="1:18" ht="33.75" hidden="1" customHeight="1">
      <c r="A66" s="85" t="s">
        <v>87</v>
      </c>
      <c r="B66" s="86"/>
      <c r="C66" s="12">
        <f>E51+E52</f>
        <v>0</v>
      </c>
      <c r="D66" s="12"/>
      <c r="E66" s="13">
        <f>D38+(0.5*E38)</f>
        <v>0</v>
      </c>
      <c r="F66" s="13"/>
      <c r="G66" s="14">
        <f>-E66</f>
        <v>0</v>
      </c>
      <c r="H66" s="77"/>
      <c r="I66" s="5"/>
      <c r="J66" s="5"/>
      <c r="K66" s="5"/>
      <c r="L66" s="5"/>
      <c r="M66" s="5"/>
      <c r="N66" s="5"/>
      <c r="O66" s="5"/>
      <c r="P66" s="5"/>
      <c r="Q66" s="5"/>
      <c r="R66" s="5"/>
    </row>
    <row r="67" spans="1:18" ht="33.75" hidden="1" customHeight="1">
      <c r="A67" s="85" t="s">
        <v>85</v>
      </c>
      <c r="B67" s="86"/>
      <c r="C67" s="10"/>
      <c r="D67" s="12">
        <f>E59</f>
        <v>0</v>
      </c>
      <c r="E67" s="10"/>
      <c r="F67" s="13">
        <f>IF(D29="Directed", (D43-B43)*10*E43,0)</f>
        <v>0</v>
      </c>
      <c r="G67" s="14">
        <f>IF(OR(D29="On-site",D29="------"),0,IF(D67&lt;=F67,0,F67-D67))</f>
        <v>0</v>
      </c>
      <c r="H67" s="77"/>
      <c r="I67" s="5"/>
      <c r="J67" s="5"/>
      <c r="K67" s="5"/>
      <c r="L67" s="5"/>
      <c r="M67" s="5"/>
      <c r="N67" s="5"/>
      <c r="O67" s="5"/>
      <c r="P67" s="5"/>
      <c r="Q67" s="5"/>
      <c r="R67" s="5"/>
    </row>
    <row r="68" spans="1:18" ht="33.75" hidden="1" customHeight="1">
      <c r="A68" s="85" t="s">
        <v>135</v>
      </c>
      <c r="B68" s="87"/>
      <c r="C68" s="14">
        <f>IF(C66+G66&lt;0,0,C66+G66)</f>
        <v>0</v>
      </c>
      <c r="D68" s="11"/>
      <c r="E68" s="11"/>
      <c r="F68" s="14">
        <f>(1-0.4-C38)*B38</f>
        <v>0</v>
      </c>
      <c r="G68" s="14">
        <f>IF(C68&lt;=F68,0,F68-C68)</f>
        <v>0</v>
      </c>
      <c r="I68" s="5"/>
      <c r="J68" s="5"/>
      <c r="K68" s="5"/>
      <c r="L68" s="5"/>
      <c r="M68" s="5"/>
      <c r="N68" s="5"/>
      <c r="O68" s="5"/>
      <c r="P68" s="5"/>
      <c r="Q68" s="5"/>
      <c r="R68" s="5"/>
    </row>
    <row r="69" spans="1:18" ht="33.75" hidden="1" customHeight="1">
      <c r="A69" s="85" t="s">
        <v>62</v>
      </c>
      <c r="B69" s="87"/>
      <c r="C69" s="14">
        <f>C68+G68</f>
        <v>0</v>
      </c>
      <c r="D69" s="14">
        <f>E61</f>
        <v>0</v>
      </c>
      <c r="E69" s="11"/>
      <c r="F69" s="14">
        <v>5000000</v>
      </c>
      <c r="G69" s="14">
        <f>IF((C69+D69)&lt;=F69,0,F69-(C69+D69))</f>
        <v>0</v>
      </c>
      <c r="I69" s="5"/>
      <c r="J69" s="5"/>
      <c r="K69" s="5"/>
      <c r="L69" s="5"/>
      <c r="M69" s="5"/>
      <c r="N69" s="5"/>
      <c r="O69" s="5"/>
      <c r="P69" s="5"/>
      <c r="Q69" s="5"/>
      <c r="R69" s="5"/>
    </row>
    <row r="70" spans="1:18" ht="33.75" hidden="1" customHeight="1">
      <c r="A70" s="85" t="s">
        <v>63</v>
      </c>
      <c r="B70" s="87"/>
      <c r="C70" s="14">
        <f>C69+G69</f>
        <v>0</v>
      </c>
      <c r="D70" s="14">
        <f>D69</f>
        <v>0</v>
      </c>
      <c r="E70" s="45">
        <f>D38+0.5*E38</f>
        <v>0</v>
      </c>
      <c r="F70" s="14">
        <f>B38</f>
        <v>0</v>
      </c>
      <c r="G70" s="14">
        <f>IF((C70+D70+E70)&lt;=F70,0,F70-(C70+D70+E70))</f>
        <v>0</v>
      </c>
      <c r="I70" s="5"/>
      <c r="J70" s="5"/>
      <c r="K70" s="5"/>
      <c r="L70" s="5"/>
      <c r="M70" s="5"/>
      <c r="N70" s="5"/>
      <c r="O70" s="5"/>
      <c r="P70" s="5"/>
      <c r="Q70" s="5"/>
      <c r="R70" s="5"/>
    </row>
    <row r="71" spans="1:18" ht="21" customHeight="1">
      <c r="A71" s="367" t="s">
        <v>90</v>
      </c>
      <c r="B71" s="369"/>
      <c r="C71" s="211"/>
      <c r="D71" s="212"/>
      <c r="E71" s="213">
        <f>SUM(G68:G70)</f>
        <v>0</v>
      </c>
      <c r="F71" s="212"/>
      <c r="G71" s="214"/>
      <c r="I71" s="5"/>
      <c r="J71" s="5"/>
      <c r="K71" s="5"/>
      <c r="L71" s="5"/>
      <c r="M71" s="5"/>
      <c r="N71" s="5"/>
      <c r="O71" s="5"/>
      <c r="P71" s="5"/>
      <c r="Q71" s="5"/>
      <c r="R71" s="5"/>
    </row>
    <row r="72" spans="1:18" ht="31.5" customHeight="1">
      <c r="A72" s="377" t="s">
        <v>129</v>
      </c>
      <c r="B72" s="378"/>
      <c r="C72" s="378"/>
      <c r="D72" s="378"/>
      <c r="E72" s="378"/>
      <c r="F72" s="378"/>
      <c r="G72" s="379"/>
      <c r="I72" s="5"/>
      <c r="J72" s="5"/>
      <c r="K72" s="5"/>
      <c r="L72" s="5"/>
      <c r="M72" s="5"/>
      <c r="N72" s="5"/>
      <c r="O72" s="5"/>
      <c r="P72" s="5"/>
      <c r="Q72" s="5"/>
      <c r="R72" s="5"/>
    </row>
    <row r="73" spans="1:18" ht="37.5" customHeight="1">
      <c r="A73" s="367" t="s">
        <v>91</v>
      </c>
      <c r="B73" s="368"/>
      <c r="C73" s="78"/>
      <c r="D73" s="78"/>
      <c r="E73" s="79">
        <f>IF(E63&lt;=0,0,IF(E63+E71&lt;0,0,E63+E71))</f>
        <v>0</v>
      </c>
      <c r="F73" s="80"/>
      <c r="G73" s="81"/>
      <c r="I73" s="16"/>
      <c r="J73" s="16"/>
      <c r="K73" s="16"/>
      <c r="L73" s="5"/>
      <c r="M73" s="5"/>
      <c r="N73" s="5"/>
      <c r="O73" s="5"/>
      <c r="P73" s="5"/>
      <c r="Q73" s="5"/>
      <c r="R73" s="5"/>
    </row>
    <row r="74" spans="1:18">
      <c r="A74" s="24"/>
      <c r="B74" s="5"/>
      <c r="C74" s="5"/>
      <c r="D74" s="5"/>
      <c r="E74" s="5"/>
      <c r="F74" s="5"/>
      <c r="G74" s="5"/>
      <c r="H74" s="5"/>
      <c r="I74" s="16"/>
      <c r="J74" s="16"/>
      <c r="K74" s="16"/>
      <c r="L74" s="5"/>
      <c r="M74" s="5"/>
      <c r="N74" s="5"/>
      <c r="O74" s="5"/>
      <c r="P74" s="5"/>
      <c r="Q74" s="5"/>
      <c r="R74" s="5"/>
    </row>
    <row r="75" spans="1:18">
      <c r="A75" s="24"/>
      <c r="B75" s="5"/>
      <c r="C75" s="5"/>
      <c r="D75" s="5"/>
      <c r="E75" s="5"/>
      <c r="F75" s="5"/>
      <c r="G75" s="5"/>
      <c r="H75" s="5"/>
      <c r="I75" s="16"/>
      <c r="J75" s="16"/>
      <c r="K75" s="16"/>
      <c r="L75" s="5"/>
      <c r="M75" s="5"/>
      <c r="N75" s="5"/>
      <c r="O75" s="5"/>
      <c r="P75" s="5"/>
      <c r="Q75" s="5"/>
      <c r="R75" s="5"/>
    </row>
    <row r="76" spans="1:18">
      <c r="A76" s="5"/>
      <c r="H76" s="44"/>
      <c r="I76" s="19"/>
      <c r="J76" s="16"/>
      <c r="K76" s="5"/>
      <c r="L76" s="5"/>
      <c r="M76" s="5"/>
      <c r="N76" s="5"/>
      <c r="O76" s="5"/>
      <c r="P76" s="5"/>
      <c r="Q76" s="5"/>
      <c r="R76" s="5"/>
    </row>
    <row r="77" spans="1:18">
      <c r="A77" s="5"/>
      <c r="H77" s="44"/>
      <c r="I77" s="19"/>
      <c r="J77" s="16"/>
      <c r="K77" s="5"/>
      <c r="L77" s="5"/>
      <c r="M77" s="5"/>
      <c r="N77" s="5"/>
      <c r="O77" s="5"/>
      <c r="P77" s="5"/>
      <c r="Q77" s="5"/>
      <c r="R77" s="5"/>
    </row>
    <row r="78" spans="1:18">
      <c r="A78" s="24"/>
      <c r="B78" s="5"/>
      <c r="C78" s="5"/>
      <c r="D78" s="16"/>
      <c r="E78" s="5"/>
      <c r="F78" s="5"/>
      <c r="G78" s="5"/>
      <c r="I78" s="16"/>
      <c r="J78" s="16"/>
      <c r="K78" s="16"/>
      <c r="L78" s="5"/>
      <c r="M78" s="5"/>
      <c r="N78" s="5"/>
      <c r="O78" s="5"/>
      <c r="P78" s="5"/>
      <c r="Q78" s="5"/>
      <c r="R78" s="5"/>
    </row>
    <row r="79" spans="1:18" ht="22.5" customHeight="1">
      <c r="A79" s="17"/>
      <c r="B79" s="17"/>
      <c r="C79" s="373" t="s">
        <v>72</v>
      </c>
      <c r="D79" s="374"/>
      <c r="E79" s="161" t="s">
        <v>54</v>
      </c>
      <c r="F79" s="41"/>
      <c r="G79" s="41"/>
      <c r="I79" s="5"/>
      <c r="J79" s="5"/>
      <c r="K79" s="5"/>
      <c r="L79" s="5"/>
      <c r="M79" s="5"/>
      <c r="N79" s="5"/>
      <c r="O79" s="5"/>
      <c r="P79" s="5"/>
      <c r="Q79" s="5"/>
      <c r="R79" s="5"/>
    </row>
    <row r="80" spans="1:18" ht="22.5" hidden="1" customHeight="1">
      <c r="A80" s="51"/>
      <c r="B80" s="16"/>
      <c r="C80" s="30" t="s">
        <v>52</v>
      </c>
      <c r="D80" s="43"/>
      <c r="E80" s="27">
        <f>VLOOKUP($B$29,Data!$H$4:$J$14,3,FALSE)</f>
        <v>0</v>
      </c>
      <c r="F80" s="16"/>
      <c r="G80" s="16"/>
      <c r="I80" s="5"/>
      <c r="J80" s="5"/>
      <c r="K80" s="5"/>
      <c r="L80" s="5"/>
      <c r="M80" s="5"/>
      <c r="N80" s="5"/>
      <c r="O80" s="5"/>
      <c r="P80" s="5"/>
      <c r="Q80" s="5"/>
      <c r="R80" s="5"/>
    </row>
    <row r="81" spans="1:18" ht="22.5" customHeight="1">
      <c r="A81" s="51"/>
      <c r="B81" s="16"/>
      <c r="C81" s="375" t="s">
        <v>139</v>
      </c>
      <c r="D81" s="376"/>
      <c r="E81" s="165">
        <f>IF(B29="Advanced Energy Storage", $E$47*5200*$E$80, $E$47*8760*$E$80)</f>
        <v>0</v>
      </c>
      <c r="F81" s="88"/>
      <c r="G81" s="16"/>
      <c r="I81" s="5"/>
      <c r="J81" s="5"/>
      <c r="K81" s="5"/>
      <c r="L81" s="5"/>
      <c r="M81" s="5"/>
      <c r="N81" s="5"/>
      <c r="O81" s="5"/>
      <c r="P81" s="5"/>
      <c r="Q81" s="5"/>
      <c r="R81" s="5"/>
    </row>
    <row r="82" spans="1:18" ht="22.5" customHeight="1">
      <c r="A82" s="51"/>
      <c r="B82" s="16"/>
      <c r="C82" s="373" t="s">
        <v>117</v>
      </c>
      <c r="D82" s="374"/>
      <c r="E82" s="259">
        <f>IF(G34&lt;30,0,E73)</f>
        <v>0</v>
      </c>
      <c r="F82" s="88"/>
      <c r="G82" s="16"/>
      <c r="I82" s="5"/>
      <c r="J82" s="5"/>
      <c r="K82" s="5"/>
      <c r="L82" s="5"/>
      <c r="M82" s="5"/>
      <c r="N82" s="5"/>
      <c r="O82" s="5"/>
      <c r="P82" s="5"/>
      <c r="Q82" s="5"/>
      <c r="R82" s="5"/>
    </row>
    <row r="83" spans="1:18" ht="22.5" customHeight="1">
      <c r="A83" s="51"/>
      <c r="B83" s="16"/>
      <c r="C83" s="373" t="s">
        <v>140</v>
      </c>
      <c r="D83" s="374"/>
      <c r="E83" s="259">
        <f>E82/2</f>
        <v>0</v>
      </c>
      <c r="F83" s="88"/>
      <c r="G83" s="16"/>
      <c r="I83" s="5"/>
      <c r="J83" s="5"/>
      <c r="K83" s="5"/>
      <c r="L83" s="5"/>
      <c r="M83" s="5"/>
      <c r="N83" s="5"/>
      <c r="O83" s="5"/>
      <c r="P83" s="5"/>
      <c r="Q83" s="5"/>
      <c r="R83" s="5"/>
    </row>
    <row r="84" spans="1:18" ht="22.5" customHeight="1">
      <c r="A84" s="51"/>
      <c r="B84" s="16"/>
      <c r="C84" s="373" t="s">
        <v>111</v>
      </c>
      <c r="D84" s="374"/>
      <c r="E84" s="209">
        <f>E82-E83</f>
        <v>0</v>
      </c>
      <c r="F84" s="88"/>
      <c r="G84" s="16"/>
      <c r="I84" s="5"/>
      <c r="J84" s="5"/>
      <c r="K84" s="5"/>
      <c r="L84" s="5"/>
      <c r="M84" s="5"/>
      <c r="N84" s="5"/>
      <c r="O84" s="5"/>
      <c r="P84" s="5"/>
      <c r="Q84" s="5"/>
      <c r="R84" s="5"/>
    </row>
    <row r="85" spans="1:18" ht="22.5" customHeight="1">
      <c r="A85" s="51"/>
      <c r="B85" s="16"/>
      <c r="C85" s="373" t="s">
        <v>110</v>
      </c>
      <c r="D85" s="374"/>
      <c r="E85" s="89" t="e">
        <f>E84/5/E81</f>
        <v>#DIV/0!</v>
      </c>
      <c r="F85" s="88"/>
      <c r="G85" s="16"/>
      <c r="I85" s="5"/>
      <c r="J85" s="5"/>
      <c r="K85" s="5"/>
      <c r="L85" s="5"/>
      <c r="M85" s="5"/>
      <c r="N85" s="5"/>
      <c r="O85" s="5"/>
      <c r="P85" s="5"/>
      <c r="Q85" s="5"/>
      <c r="R85" s="5"/>
    </row>
    <row r="86" spans="1:18" ht="22.5" hidden="1" customHeight="1">
      <c r="A86" s="54"/>
      <c r="B86" s="47"/>
      <c r="C86" s="35" t="s">
        <v>55</v>
      </c>
      <c r="D86" s="49"/>
      <c r="E86" s="50">
        <f>E83/5</f>
        <v>0</v>
      </c>
      <c r="F86" s="46"/>
      <c r="G86" s="47"/>
      <c r="I86" s="5"/>
      <c r="J86" s="5"/>
      <c r="K86" s="5"/>
      <c r="L86" s="5"/>
      <c r="M86" s="5"/>
      <c r="N86" s="5"/>
      <c r="O86" s="5"/>
      <c r="P86" s="5"/>
      <c r="Q86" s="5"/>
      <c r="R86" s="5"/>
    </row>
    <row r="87" spans="1:18" s="20" customFormat="1">
      <c r="A87" s="16"/>
      <c r="B87" s="16"/>
      <c r="C87" s="17"/>
      <c r="D87" s="17"/>
      <c r="E87" s="18"/>
      <c r="F87" s="18"/>
      <c r="G87" s="16"/>
      <c r="H87" s="17"/>
      <c r="I87" s="17"/>
      <c r="J87" s="18"/>
      <c r="K87" s="16"/>
      <c r="L87" s="16"/>
      <c r="M87" s="16"/>
      <c r="N87" s="16"/>
      <c r="O87" s="16"/>
      <c r="P87" s="16"/>
      <c r="Q87" s="16"/>
      <c r="R87" s="16"/>
    </row>
    <row r="88" spans="1:18" s="20" customFormat="1" ht="23.25" customHeight="1">
      <c r="A88" s="210" t="s">
        <v>92</v>
      </c>
      <c r="B88" s="370"/>
      <c r="C88" s="371"/>
      <c r="D88" s="371"/>
      <c r="E88" s="371"/>
      <c r="F88" s="371"/>
      <c r="G88" s="372"/>
      <c r="H88" s="19"/>
      <c r="I88" s="16"/>
      <c r="J88" s="16"/>
      <c r="K88" s="16"/>
      <c r="L88" s="16"/>
      <c r="M88" s="16"/>
      <c r="N88" s="16"/>
      <c r="O88" s="16"/>
      <c r="P88" s="16"/>
      <c r="Q88" s="16"/>
      <c r="R88" s="16"/>
    </row>
    <row r="89" spans="1:18" s="20" customFormat="1" ht="23.25" customHeight="1">
      <c r="A89" s="22">
        <v>1</v>
      </c>
      <c r="B89" s="361" t="s">
        <v>147</v>
      </c>
      <c r="C89" s="362"/>
      <c r="D89" s="362"/>
      <c r="E89" s="362"/>
      <c r="F89" s="362"/>
      <c r="G89" s="363"/>
      <c r="H89" s="19"/>
      <c r="I89" s="16"/>
      <c r="J89" s="16"/>
      <c r="K89" s="16"/>
      <c r="L89" s="16"/>
      <c r="M89" s="16"/>
      <c r="N89" s="16"/>
      <c r="O89" s="16"/>
      <c r="P89" s="16"/>
      <c r="Q89" s="16"/>
      <c r="R89" s="16"/>
    </row>
    <row r="90" spans="1:18" s="20" customFormat="1" ht="23.25" customHeight="1">
      <c r="A90" s="23">
        <v>2</v>
      </c>
      <c r="B90" s="358" t="s">
        <v>148</v>
      </c>
      <c r="C90" s="359"/>
      <c r="D90" s="359"/>
      <c r="E90" s="359"/>
      <c r="F90" s="359"/>
      <c r="G90" s="360"/>
      <c r="H90" s="19"/>
      <c r="I90" s="16"/>
      <c r="J90" s="16"/>
      <c r="K90" s="16"/>
      <c r="L90" s="16"/>
      <c r="M90" s="16"/>
      <c r="N90" s="16"/>
      <c r="O90" s="16"/>
      <c r="P90" s="16"/>
      <c r="Q90" s="16"/>
      <c r="R90" s="16"/>
    </row>
    <row r="91" spans="1:18" s="20" customFormat="1" ht="23.25" customHeight="1">
      <c r="A91" s="23">
        <v>3</v>
      </c>
      <c r="B91" s="358" t="s">
        <v>149</v>
      </c>
      <c r="C91" s="359"/>
      <c r="D91" s="359"/>
      <c r="E91" s="359"/>
      <c r="F91" s="359"/>
      <c r="G91" s="360"/>
      <c r="H91" s="19"/>
      <c r="I91" s="16"/>
      <c r="J91" s="16"/>
      <c r="K91" s="16"/>
      <c r="L91" s="16"/>
      <c r="M91" s="16"/>
      <c r="N91" s="16"/>
      <c r="O91" s="16"/>
      <c r="P91" s="16"/>
      <c r="Q91" s="16"/>
      <c r="R91" s="16"/>
    </row>
    <row r="92" spans="1:18" s="20" customFormat="1" ht="23.25" customHeight="1">
      <c r="A92" s="23">
        <v>4</v>
      </c>
      <c r="B92" s="358" t="s">
        <v>150</v>
      </c>
      <c r="C92" s="359"/>
      <c r="D92" s="359"/>
      <c r="E92" s="359"/>
      <c r="F92" s="359"/>
      <c r="G92" s="360"/>
      <c r="H92" s="19"/>
      <c r="I92" s="16"/>
      <c r="J92" s="16"/>
      <c r="K92" s="16"/>
      <c r="L92" s="16"/>
      <c r="M92" s="16"/>
      <c r="N92" s="16"/>
      <c r="O92" s="16"/>
      <c r="P92" s="16"/>
      <c r="Q92" s="16"/>
      <c r="R92" s="16"/>
    </row>
    <row r="93" spans="1:18" s="20" customFormat="1" ht="23.25" customHeight="1">
      <c r="A93" s="23">
        <v>5</v>
      </c>
      <c r="B93" s="358" t="s">
        <v>151</v>
      </c>
      <c r="C93" s="359"/>
      <c r="D93" s="359"/>
      <c r="E93" s="359"/>
      <c r="F93" s="359"/>
      <c r="G93" s="360"/>
      <c r="H93" s="19"/>
      <c r="I93" s="16"/>
      <c r="J93" s="16"/>
      <c r="K93" s="16"/>
      <c r="L93" s="16"/>
      <c r="M93" s="16"/>
      <c r="N93" s="16"/>
      <c r="O93" s="16"/>
      <c r="P93" s="16"/>
      <c r="Q93" s="16"/>
      <c r="R93" s="16"/>
    </row>
    <row r="94" spans="1:18" s="20" customFormat="1" ht="23.25" customHeight="1">
      <c r="A94" s="23">
        <v>6</v>
      </c>
      <c r="B94" s="348" t="s">
        <v>152</v>
      </c>
      <c r="C94" s="349"/>
      <c r="D94" s="349"/>
      <c r="E94" s="306" t="s">
        <v>141</v>
      </c>
      <c r="F94" s="215"/>
      <c r="G94" s="216"/>
      <c r="H94" s="19"/>
      <c r="I94" s="16"/>
      <c r="J94" s="16"/>
      <c r="K94" s="16"/>
      <c r="L94" s="16"/>
      <c r="M94" s="16"/>
      <c r="N94" s="16"/>
      <c r="O94" s="16"/>
      <c r="P94" s="16"/>
      <c r="Q94" s="16"/>
      <c r="R94" s="16"/>
    </row>
    <row r="95" spans="1:18" s="20" customFormat="1" ht="84.75" customHeight="1">
      <c r="A95" s="23">
        <v>7</v>
      </c>
      <c r="B95" s="350" t="s">
        <v>153</v>
      </c>
      <c r="C95" s="351"/>
      <c r="D95" s="351"/>
      <c r="E95" s="351"/>
      <c r="F95" s="351"/>
      <c r="G95" s="352"/>
      <c r="H95" s="76"/>
      <c r="I95" s="16"/>
      <c r="J95" s="16"/>
      <c r="K95" s="16"/>
      <c r="L95" s="16"/>
      <c r="M95" s="16"/>
      <c r="N95" s="16"/>
      <c r="O95" s="16"/>
      <c r="P95" s="16"/>
      <c r="Q95" s="16"/>
      <c r="R95" s="16"/>
    </row>
    <row r="96" spans="1:18" s="20" customFormat="1">
      <c r="A96" s="135"/>
      <c r="B96" s="356"/>
      <c r="C96" s="356"/>
      <c r="D96" s="356"/>
      <c r="E96" s="356"/>
      <c r="F96" s="356"/>
      <c r="G96" s="357"/>
      <c r="H96" s="19"/>
      <c r="I96" s="16"/>
      <c r="J96" s="16"/>
      <c r="K96" s="16"/>
      <c r="L96" s="16"/>
      <c r="M96" s="16"/>
      <c r="N96" s="16"/>
      <c r="O96" s="16"/>
      <c r="P96" s="16"/>
      <c r="Q96" s="16"/>
      <c r="R96" s="16"/>
    </row>
    <row r="97" spans="1:18" s="20" customFormat="1">
      <c r="A97" s="16"/>
      <c r="B97" s="16"/>
      <c r="C97" s="17"/>
      <c r="D97" s="17"/>
      <c r="E97" s="18"/>
      <c r="F97" s="18"/>
      <c r="G97" s="16"/>
      <c r="I97" s="16"/>
      <c r="J97" s="16"/>
      <c r="K97" s="16"/>
      <c r="L97" s="16"/>
      <c r="M97" s="16"/>
      <c r="N97" s="16"/>
      <c r="O97" s="16"/>
      <c r="P97" s="16"/>
      <c r="Q97" s="16"/>
      <c r="R97" s="16"/>
    </row>
    <row r="98" spans="1:18" s="20" customFormat="1" ht="14">
      <c r="A98" s="353" t="s">
        <v>156</v>
      </c>
      <c r="B98" s="354"/>
      <c r="C98" s="354"/>
      <c r="D98" s="354"/>
      <c r="E98" s="354"/>
      <c r="F98" s="354"/>
      <c r="G98" s="355"/>
      <c r="H98" s="76"/>
      <c r="I98" s="16"/>
      <c r="J98" s="16"/>
      <c r="K98" s="16"/>
      <c r="L98" s="16"/>
      <c r="M98" s="16"/>
      <c r="N98" s="16"/>
      <c r="O98" s="16"/>
      <c r="P98" s="16"/>
      <c r="Q98" s="16"/>
      <c r="R98" s="16"/>
    </row>
    <row r="99" spans="1:18" s="20" customFormat="1">
      <c r="A99" s="16"/>
      <c r="B99" s="16"/>
      <c r="C99" s="18"/>
      <c r="D99" s="16"/>
      <c r="E99" s="18"/>
      <c r="F99" s="18"/>
      <c r="G99" s="16"/>
      <c r="I99" s="16"/>
      <c r="J99" s="16"/>
      <c r="K99" s="16"/>
      <c r="L99" s="16"/>
      <c r="M99" s="16"/>
      <c r="N99" s="16"/>
      <c r="O99" s="16"/>
      <c r="P99" s="16"/>
      <c r="Q99" s="16"/>
      <c r="R99" s="16"/>
    </row>
    <row r="100" spans="1:18" s="20" customFormat="1" ht="42" customHeight="1">
      <c r="A100" s="53"/>
      <c r="B100" s="346" t="s">
        <v>36</v>
      </c>
      <c r="C100" s="347"/>
      <c r="D100" s="346" t="s">
        <v>37</v>
      </c>
      <c r="E100" s="347"/>
      <c r="F100" s="346" t="s">
        <v>38</v>
      </c>
      <c r="G100" s="347"/>
      <c r="I100" s="16"/>
      <c r="J100" s="16"/>
      <c r="K100" s="16"/>
      <c r="L100" s="16"/>
      <c r="M100" s="16"/>
      <c r="N100" s="16"/>
      <c r="O100" s="16"/>
      <c r="P100" s="16"/>
      <c r="Q100" s="16"/>
      <c r="R100" s="16"/>
    </row>
    <row r="101" spans="1:18" s="20" customFormat="1" ht="42" customHeight="1">
      <c r="A101" s="2" t="s">
        <v>76</v>
      </c>
      <c r="B101" s="312"/>
      <c r="C101" s="319"/>
      <c r="D101" s="312"/>
      <c r="E101" s="319"/>
      <c r="F101" s="312"/>
      <c r="G101" s="313"/>
      <c r="I101" s="16"/>
      <c r="J101" s="16"/>
      <c r="K101" s="16"/>
      <c r="L101" s="16"/>
      <c r="M101" s="16"/>
      <c r="N101" s="16"/>
      <c r="O101" s="16"/>
      <c r="P101" s="16"/>
      <c r="Q101" s="16"/>
      <c r="R101" s="16"/>
    </row>
    <row r="102" spans="1:18" s="20" customFormat="1" ht="42" customHeight="1">
      <c r="A102" s="2" t="s">
        <v>77</v>
      </c>
      <c r="B102" s="312"/>
      <c r="C102" s="319"/>
      <c r="D102" s="312"/>
      <c r="E102" s="319"/>
      <c r="F102" s="312"/>
      <c r="G102" s="313"/>
      <c r="I102" s="16"/>
      <c r="J102" s="16"/>
      <c r="K102" s="16"/>
      <c r="L102" s="16"/>
      <c r="M102" s="16"/>
      <c r="N102" s="16"/>
      <c r="O102" s="16"/>
      <c r="P102" s="16"/>
      <c r="Q102" s="16"/>
      <c r="R102" s="16"/>
    </row>
    <row r="103" spans="1:18" s="20" customFormat="1" ht="42" customHeight="1">
      <c r="A103" s="2" t="s">
        <v>78</v>
      </c>
      <c r="B103" s="314"/>
      <c r="C103" s="320"/>
      <c r="D103" s="314"/>
      <c r="E103" s="320"/>
      <c r="F103" s="314"/>
      <c r="G103" s="315"/>
      <c r="H103" s="15"/>
      <c r="I103" s="19"/>
      <c r="J103" s="16"/>
      <c r="K103" s="16"/>
      <c r="L103" s="16"/>
      <c r="M103" s="16"/>
      <c r="N103" s="16"/>
      <c r="O103" s="16"/>
      <c r="P103" s="16"/>
      <c r="Q103" s="16"/>
      <c r="R103" s="16"/>
    </row>
    <row r="104" spans="1:18" s="20" customFormat="1" ht="42" customHeight="1">
      <c r="A104" s="2" t="s">
        <v>79</v>
      </c>
      <c r="B104" s="316"/>
      <c r="C104" s="321"/>
      <c r="D104" s="316"/>
      <c r="E104" s="321"/>
      <c r="F104" s="316"/>
      <c r="G104" s="317"/>
      <c r="H104" s="15"/>
      <c r="I104" s="19"/>
      <c r="J104" s="16"/>
      <c r="K104" s="16"/>
      <c r="L104" s="16"/>
      <c r="M104" s="16"/>
      <c r="N104" s="16"/>
      <c r="O104" s="16"/>
      <c r="P104" s="16"/>
      <c r="Q104" s="16"/>
      <c r="R104" s="16"/>
    </row>
    <row r="105" spans="1:18" s="20" customFormat="1" ht="42" customHeight="1">
      <c r="A105" s="16"/>
      <c r="B105" s="16"/>
      <c r="C105" s="18"/>
      <c r="D105" s="16"/>
      <c r="E105" s="18"/>
      <c r="F105" s="5"/>
      <c r="G105" s="5"/>
      <c r="H105" s="15"/>
      <c r="I105" s="19"/>
      <c r="J105" s="16"/>
      <c r="K105" s="16"/>
      <c r="L105" s="16"/>
      <c r="M105" s="16"/>
      <c r="N105" s="16"/>
      <c r="O105" s="16"/>
      <c r="P105" s="16"/>
      <c r="Q105" s="16"/>
      <c r="R105" s="16"/>
    </row>
    <row r="106" spans="1:18" s="20" customFormat="1" ht="42" customHeight="1">
      <c r="A106" s="16"/>
      <c r="B106" s="16"/>
      <c r="C106" s="18"/>
      <c r="D106" s="16"/>
      <c r="E106" s="17"/>
      <c r="F106" s="17"/>
      <c r="G106" s="18"/>
      <c r="H106" s="5"/>
      <c r="I106" s="5"/>
      <c r="J106" s="15"/>
      <c r="K106" s="19"/>
      <c r="L106" s="16"/>
      <c r="M106" s="16"/>
      <c r="N106" s="16"/>
      <c r="O106" s="16"/>
      <c r="P106" s="16"/>
      <c r="Q106" s="16"/>
      <c r="R106" s="16"/>
    </row>
    <row r="107" spans="1:18" s="20" customFormat="1" ht="42" customHeight="1">
      <c r="A107" s="16"/>
      <c r="B107" s="16"/>
      <c r="C107" s="17"/>
      <c r="D107" s="17"/>
      <c r="E107" s="18"/>
      <c r="F107" s="18"/>
      <c r="G107" s="16"/>
      <c r="H107" s="17"/>
      <c r="I107" s="17"/>
      <c r="J107" s="18"/>
      <c r="K107" s="5"/>
      <c r="L107" s="5"/>
      <c r="M107" s="15"/>
      <c r="N107" s="19"/>
      <c r="O107" s="16"/>
      <c r="P107" s="16"/>
      <c r="Q107" s="16"/>
      <c r="R107" s="16"/>
    </row>
    <row r="108" spans="1:18" ht="26.25" customHeight="1">
      <c r="A108" s="24"/>
      <c r="B108" s="5"/>
      <c r="C108" s="5"/>
      <c r="D108" s="5"/>
      <c r="E108" s="5"/>
      <c r="F108" s="5"/>
      <c r="G108" s="5"/>
      <c r="H108" s="5"/>
      <c r="I108" s="5"/>
      <c r="J108" s="5"/>
      <c r="K108" s="5"/>
      <c r="L108" s="5"/>
      <c r="M108" s="15"/>
      <c r="N108" s="15"/>
      <c r="O108" s="5"/>
      <c r="P108" s="5"/>
      <c r="Q108" s="5"/>
      <c r="R108" s="5"/>
    </row>
    <row r="109" spans="1:18" ht="26.25" customHeight="1">
      <c r="A109" s="24"/>
      <c r="B109" s="5"/>
      <c r="C109" s="5"/>
      <c r="D109" s="5"/>
      <c r="E109" s="5"/>
      <c r="F109" s="5"/>
      <c r="G109" s="5"/>
      <c r="H109" s="5"/>
      <c r="I109" s="5"/>
      <c r="J109" s="5"/>
      <c r="K109" s="5"/>
      <c r="L109" s="5"/>
      <c r="M109" s="15"/>
      <c r="N109" s="15"/>
      <c r="O109" s="5"/>
      <c r="P109" s="5"/>
      <c r="Q109" s="5"/>
      <c r="R109" s="5"/>
    </row>
    <row r="110" spans="1:18" ht="26.25" customHeight="1">
      <c r="A110" s="24"/>
      <c r="B110" s="5"/>
      <c r="C110" s="5"/>
      <c r="D110" s="5"/>
      <c r="E110" s="5"/>
      <c r="F110" s="5"/>
      <c r="G110" s="5"/>
      <c r="H110" s="5"/>
      <c r="I110" s="5"/>
      <c r="J110" s="5"/>
      <c r="K110" s="5"/>
      <c r="L110" s="5"/>
      <c r="M110" s="15"/>
      <c r="N110" s="15"/>
      <c r="O110" s="5"/>
      <c r="P110" s="5"/>
      <c r="Q110" s="5"/>
      <c r="R110" s="5"/>
    </row>
    <row r="111" spans="1:18" ht="26.25" customHeight="1">
      <c r="A111" s="24"/>
      <c r="B111" s="5"/>
      <c r="C111" s="5"/>
      <c r="D111" s="5"/>
      <c r="E111" s="5"/>
      <c r="F111" s="5"/>
      <c r="G111" s="5"/>
      <c r="H111" s="5"/>
      <c r="I111" s="5"/>
      <c r="J111" s="5"/>
      <c r="K111" s="5"/>
      <c r="L111" s="5"/>
      <c r="M111" s="15"/>
      <c r="N111" s="15"/>
      <c r="O111" s="5"/>
      <c r="P111" s="5"/>
      <c r="Q111" s="5"/>
      <c r="R111" s="5"/>
    </row>
    <row r="112" spans="1:18" ht="26.25" customHeight="1">
      <c r="A112" s="24"/>
      <c r="B112" s="5"/>
      <c r="C112" s="5"/>
      <c r="D112" s="5"/>
      <c r="E112" s="5"/>
      <c r="F112" s="5"/>
      <c r="G112" s="5"/>
      <c r="H112" s="5"/>
      <c r="I112" s="5"/>
      <c r="J112" s="5"/>
      <c r="K112" s="5"/>
      <c r="L112" s="5"/>
      <c r="M112" s="15"/>
      <c r="N112" s="15"/>
      <c r="O112" s="5"/>
      <c r="P112" s="5"/>
      <c r="Q112" s="5"/>
      <c r="R112" s="5"/>
    </row>
    <row r="113" spans="1:24" ht="26.25" customHeight="1">
      <c r="A113" s="24"/>
      <c r="B113" s="5"/>
      <c r="C113" s="5"/>
      <c r="D113" s="5"/>
      <c r="E113" s="5"/>
      <c r="F113" s="5"/>
      <c r="G113" s="5"/>
      <c r="H113" s="5"/>
      <c r="I113" s="5"/>
      <c r="J113" s="5"/>
      <c r="K113" s="5"/>
      <c r="L113" s="5"/>
      <c r="M113" s="15"/>
      <c r="N113" s="15"/>
      <c r="O113" s="5"/>
      <c r="P113" s="5"/>
      <c r="Q113" s="5"/>
      <c r="R113" s="5"/>
    </row>
    <row r="114" spans="1:24" ht="26.25" customHeight="1">
      <c r="A114" s="24"/>
      <c r="B114" s="5"/>
      <c r="C114" s="5"/>
      <c r="D114" s="5"/>
      <c r="E114" s="5"/>
      <c r="F114" s="5"/>
      <c r="G114" s="5"/>
      <c r="H114" s="5"/>
      <c r="I114" s="5"/>
      <c r="J114" s="5"/>
      <c r="K114" s="5"/>
      <c r="L114" s="5"/>
      <c r="M114" s="5"/>
      <c r="N114" s="15"/>
      <c r="O114" s="5"/>
      <c r="P114" s="5"/>
      <c r="Q114" s="5"/>
      <c r="R114" s="5"/>
    </row>
    <row r="115" spans="1:24" ht="26.25" customHeight="1">
      <c r="A115" s="24"/>
      <c r="B115" s="5"/>
      <c r="C115" s="5"/>
      <c r="D115" s="5"/>
      <c r="E115" s="5"/>
      <c r="F115" s="5"/>
      <c r="G115" s="5"/>
      <c r="H115" s="5"/>
      <c r="I115" s="5"/>
      <c r="J115" s="5"/>
      <c r="K115" s="5"/>
      <c r="L115" s="5"/>
      <c r="M115" s="5"/>
      <c r="N115" s="15"/>
      <c r="O115" s="5"/>
      <c r="P115" s="5"/>
      <c r="Q115" s="5"/>
      <c r="R115" s="5"/>
    </row>
    <row r="116" spans="1:24" ht="26.25" customHeight="1">
      <c r="A116" s="24"/>
      <c r="B116" s="5"/>
      <c r="C116" s="5"/>
      <c r="D116" s="5"/>
      <c r="E116" s="5"/>
      <c r="F116" s="5"/>
      <c r="G116" s="5"/>
      <c r="H116" s="5"/>
      <c r="I116" s="5"/>
      <c r="J116" s="5"/>
      <c r="K116" s="5"/>
      <c r="L116" s="5"/>
      <c r="M116" s="5"/>
      <c r="N116" s="15"/>
      <c r="O116" s="5"/>
      <c r="P116" s="5"/>
      <c r="Q116" s="5"/>
      <c r="R116" s="5"/>
    </row>
    <row r="117" spans="1:24" ht="26.25" customHeight="1">
      <c r="A117" s="24"/>
      <c r="B117" s="5"/>
      <c r="C117" s="5"/>
      <c r="D117" s="5"/>
      <c r="E117" s="5"/>
      <c r="F117" s="5"/>
      <c r="G117" s="5"/>
      <c r="H117" s="5"/>
      <c r="I117" s="5"/>
      <c r="J117" s="5"/>
      <c r="K117" s="5"/>
      <c r="L117" s="5"/>
      <c r="M117" s="5"/>
      <c r="N117" s="15"/>
      <c r="O117" s="5"/>
      <c r="P117" s="5"/>
      <c r="Q117" s="5"/>
      <c r="R117" s="5"/>
    </row>
    <row r="118" spans="1:24" ht="26.25" customHeight="1">
      <c r="A118" s="24"/>
      <c r="B118" s="5"/>
      <c r="C118" s="5"/>
      <c r="D118" s="5"/>
      <c r="E118" s="5"/>
      <c r="F118" s="5"/>
      <c r="G118" s="5"/>
      <c r="H118" s="5"/>
      <c r="I118" s="5"/>
      <c r="J118" s="5"/>
      <c r="K118" s="5"/>
      <c r="L118" s="5"/>
      <c r="M118" s="5"/>
      <c r="N118" s="15"/>
      <c r="O118" s="5"/>
      <c r="P118" s="5"/>
      <c r="Q118" s="5"/>
      <c r="R118" s="5"/>
    </row>
    <row r="119" spans="1:24" ht="26.25" customHeight="1">
      <c r="A119" s="24"/>
      <c r="B119" s="5"/>
      <c r="C119" s="5"/>
      <c r="D119" s="5"/>
      <c r="E119" s="5"/>
      <c r="F119" s="5"/>
      <c r="G119" s="5"/>
      <c r="H119" s="5"/>
      <c r="I119" s="5"/>
      <c r="J119" s="5"/>
      <c r="K119" s="5"/>
      <c r="L119" s="5"/>
      <c r="M119" s="5"/>
      <c r="N119" s="15"/>
      <c r="O119" s="5"/>
      <c r="P119" s="5"/>
      <c r="Q119" s="5"/>
      <c r="R119" s="5"/>
    </row>
    <row r="120" spans="1:24" ht="26.25" customHeight="1">
      <c r="A120" s="24"/>
      <c r="B120" s="5"/>
      <c r="C120" s="5"/>
      <c r="D120" s="5"/>
      <c r="E120" s="5"/>
      <c r="F120" s="5"/>
      <c r="G120" s="5"/>
      <c r="H120" s="5"/>
      <c r="I120" s="5"/>
      <c r="J120" s="5"/>
      <c r="K120" s="5"/>
      <c r="L120" s="5"/>
      <c r="M120" s="5"/>
      <c r="N120" s="15"/>
      <c r="O120" s="5"/>
      <c r="P120" s="5"/>
      <c r="Q120" s="5"/>
      <c r="R120" s="5"/>
    </row>
    <row r="121" spans="1:24" ht="41.25" customHeight="1">
      <c r="A121" s="24"/>
      <c r="B121" s="5"/>
      <c r="C121" s="5"/>
      <c r="D121" s="5"/>
      <c r="E121" s="5"/>
      <c r="F121" s="5"/>
      <c r="G121" s="5"/>
      <c r="H121" s="5"/>
      <c r="I121" s="5"/>
      <c r="J121" s="5"/>
      <c r="K121" s="5"/>
      <c r="L121" s="5"/>
      <c r="M121" s="5"/>
      <c r="N121" s="15"/>
      <c r="O121" s="15"/>
      <c r="P121" s="15"/>
      <c r="Q121" s="15"/>
      <c r="R121" s="15"/>
      <c r="S121" s="15"/>
      <c r="T121" s="15"/>
      <c r="U121" s="15"/>
      <c r="V121" s="15"/>
      <c r="W121" s="15"/>
      <c r="X121" s="15"/>
    </row>
    <row r="122" spans="1:24" ht="51" customHeight="1">
      <c r="A122" s="5"/>
      <c r="B122" s="5"/>
      <c r="C122" s="5"/>
      <c r="D122" s="5"/>
      <c r="E122" s="5"/>
      <c r="F122" s="5"/>
      <c r="G122" s="5"/>
      <c r="H122" s="5"/>
      <c r="I122" s="5"/>
      <c r="J122" s="5"/>
      <c r="K122" s="5"/>
      <c r="L122" s="5"/>
      <c r="M122" s="5"/>
      <c r="N122" s="15"/>
      <c r="O122" s="15"/>
      <c r="P122" s="15"/>
      <c r="Q122" s="15"/>
      <c r="R122" s="15"/>
      <c r="S122" s="15"/>
      <c r="T122" s="15"/>
      <c r="U122" s="15"/>
      <c r="V122" s="15"/>
      <c r="W122" s="15"/>
      <c r="X122" s="15"/>
    </row>
    <row r="123" spans="1:24" ht="51" customHeight="1">
      <c r="A123" s="5"/>
      <c r="B123" s="5"/>
      <c r="C123" s="5"/>
      <c r="D123" s="5"/>
      <c r="E123" s="5"/>
      <c r="F123" s="5"/>
      <c r="G123" s="5"/>
      <c r="H123" s="5"/>
      <c r="I123" s="5"/>
      <c r="J123" s="5"/>
      <c r="K123" s="5"/>
      <c r="L123" s="5"/>
      <c r="M123" s="5"/>
      <c r="N123" s="15"/>
      <c r="O123" s="15"/>
      <c r="P123" s="15"/>
      <c r="Q123" s="15"/>
      <c r="R123" s="15"/>
      <c r="S123" s="15"/>
      <c r="T123" s="15"/>
      <c r="U123" s="15"/>
      <c r="V123" s="15"/>
      <c r="W123" s="15"/>
      <c r="X123" s="15"/>
    </row>
    <row r="124" spans="1:24" ht="51" customHeight="1">
      <c r="A124" s="5"/>
      <c r="B124" s="5"/>
      <c r="C124" s="5"/>
      <c r="D124" s="5"/>
      <c r="E124" s="5"/>
      <c r="F124" s="5"/>
      <c r="G124" s="5"/>
      <c r="H124" s="5"/>
      <c r="I124" s="5"/>
      <c r="J124" s="5"/>
      <c r="K124" s="5"/>
      <c r="L124" s="5"/>
      <c r="M124" s="5"/>
      <c r="N124" s="5"/>
      <c r="O124" s="5"/>
      <c r="P124" s="15"/>
      <c r="Q124" s="15"/>
      <c r="R124" s="15"/>
      <c r="S124" s="15"/>
      <c r="T124" s="15"/>
      <c r="U124" s="15"/>
      <c r="V124" s="15"/>
      <c r="W124" s="15"/>
      <c r="X124" s="15"/>
    </row>
    <row r="125" spans="1:24" ht="51" customHeight="1">
      <c r="A125" s="5"/>
      <c r="B125" s="5"/>
      <c r="C125" s="5"/>
      <c r="D125" s="5"/>
      <c r="E125" s="5"/>
      <c r="F125" s="5"/>
      <c r="G125" s="5"/>
      <c r="H125" s="5"/>
      <c r="I125" s="5"/>
      <c r="J125" s="5"/>
      <c r="K125" s="5"/>
      <c r="L125" s="5"/>
      <c r="M125" s="5"/>
      <c r="N125" s="5"/>
      <c r="O125" s="5"/>
      <c r="P125" s="5"/>
      <c r="Q125" s="5"/>
      <c r="R125" s="5"/>
    </row>
    <row r="126" spans="1:24" ht="51" customHeight="1">
      <c r="A126" s="5"/>
      <c r="B126" s="5"/>
      <c r="C126" s="5"/>
      <c r="D126" s="5"/>
      <c r="E126" s="5"/>
      <c r="F126" s="5"/>
      <c r="G126" s="5"/>
      <c r="H126" s="5"/>
      <c r="I126" s="5"/>
      <c r="J126" s="5"/>
      <c r="K126" s="5"/>
      <c r="L126" s="5"/>
      <c r="M126" s="5"/>
      <c r="N126" s="5"/>
      <c r="O126" s="5"/>
      <c r="P126" s="5"/>
      <c r="Q126" s="5"/>
      <c r="R126" s="5"/>
    </row>
    <row r="127" spans="1:24">
      <c r="A127" s="24"/>
      <c r="B127" s="5"/>
      <c r="C127" s="5"/>
      <c r="D127" s="5"/>
      <c r="E127" s="5"/>
      <c r="F127" s="5"/>
      <c r="G127" s="5"/>
      <c r="H127" s="5"/>
      <c r="I127" s="5"/>
      <c r="J127" s="5"/>
      <c r="K127" s="5"/>
      <c r="L127" s="5"/>
      <c r="M127" s="5"/>
      <c r="N127" s="5"/>
      <c r="O127" s="5"/>
      <c r="P127" s="5"/>
      <c r="Q127" s="5"/>
      <c r="R127" s="5"/>
    </row>
    <row r="128" spans="1:24">
      <c r="A128" s="24"/>
      <c r="B128" s="5"/>
      <c r="C128" s="5"/>
      <c r="D128" s="5"/>
      <c r="E128" s="5"/>
      <c r="F128" s="5"/>
      <c r="G128" s="5"/>
      <c r="H128" s="5"/>
      <c r="I128" s="5"/>
      <c r="J128" s="5"/>
      <c r="K128" s="5"/>
      <c r="L128" s="5"/>
      <c r="M128" s="5"/>
      <c r="N128" s="5"/>
      <c r="O128" s="5"/>
      <c r="P128" s="5"/>
      <c r="Q128" s="5"/>
      <c r="R128" s="5"/>
    </row>
    <row r="129" spans="1:18">
      <c r="A129" s="24"/>
      <c r="B129" s="5"/>
      <c r="C129" s="5"/>
      <c r="D129" s="5"/>
      <c r="E129" s="5"/>
      <c r="F129" s="5"/>
      <c r="G129" s="5"/>
      <c r="H129" s="5"/>
      <c r="I129" s="5"/>
      <c r="J129" s="5"/>
      <c r="K129" s="5"/>
      <c r="L129" s="5"/>
      <c r="M129" s="5"/>
      <c r="N129" s="5"/>
      <c r="O129" s="5"/>
      <c r="P129" s="5"/>
      <c r="Q129" s="5"/>
      <c r="R129" s="5"/>
    </row>
    <row r="130" spans="1:18">
      <c r="A130" s="24"/>
      <c r="B130" s="5"/>
      <c r="C130" s="5"/>
      <c r="D130" s="5"/>
      <c r="E130" s="5"/>
      <c r="F130" s="5"/>
      <c r="G130" s="5"/>
      <c r="H130" s="5"/>
      <c r="I130" s="5"/>
      <c r="J130" s="5"/>
      <c r="K130" s="5"/>
      <c r="L130" s="5"/>
      <c r="M130" s="5"/>
      <c r="N130" s="5"/>
      <c r="O130" s="5"/>
      <c r="P130" s="5"/>
      <c r="Q130" s="5"/>
      <c r="R130" s="5"/>
    </row>
    <row r="131" spans="1:18">
      <c r="A131" s="24"/>
      <c r="B131" s="5"/>
      <c r="C131" s="5"/>
      <c r="D131" s="5"/>
      <c r="E131" s="5"/>
      <c r="F131" s="5"/>
      <c r="G131" s="5"/>
      <c r="H131" s="5"/>
      <c r="I131" s="5"/>
      <c r="J131" s="5"/>
      <c r="K131" s="5"/>
      <c r="L131" s="5"/>
      <c r="M131" s="5"/>
      <c r="N131" s="5"/>
      <c r="O131" s="5"/>
      <c r="P131" s="5"/>
      <c r="Q131" s="5"/>
      <c r="R131" s="5"/>
    </row>
    <row r="132" spans="1:18">
      <c r="A132" s="24"/>
      <c r="B132" s="5"/>
      <c r="C132" s="5"/>
      <c r="D132" s="5"/>
      <c r="E132" s="5"/>
      <c r="F132" s="5"/>
      <c r="G132" s="5"/>
      <c r="H132" s="5"/>
      <c r="I132" s="5"/>
      <c r="J132" s="5"/>
      <c r="K132" s="5"/>
      <c r="L132" s="5"/>
      <c r="M132" s="5"/>
      <c r="N132" s="5"/>
      <c r="O132" s="5"/>
      <c r="P132" s="5"/>
      <c r="Q132" s="5"/>
      <c r="R132" s="5"/>
    </row>
    <row r="133" spans="1:18">
      <c r="A133" s="24"/>
      <c r="B133" s="5"/>
      <c r="C133" s="5"/>
      <c r="D133" s="5"/>
      <c r="E133" s="5"/>
      <c r="F133" s="5"/>
      <c r="G133" s="5"/>
      <c r="H133" s="5"/>
      <c r="I133" s="5"/>
      <c r="J133" s="5"/>
      <c r="K133" s="5"/>
      <c r="L133" s="5"/>
      <c r="M133" s="5"/>
      <c r="N133" s="5"/>
      <c r="O133" s="5"/>
      <c r="P133" s="5"/>
      <c r="Q133" s="5"/>
      <c r="R133" s="5"/>
    </row>
    <row r="134" spans="1:18">
      <c r="A134" s="24"/>
      <c r="B134" s="5"/>
      <c r="C134" s="5"/>
      <c r="D134" s="5"/>
      <c r="E134" s="5"/>
      <c r="F134" s="5"/>
      <c r="G134" s="5"/>
      <c r="H134" s="5"/>
      <c r="I134" s="5"/>
      <c r="J134" s="5"/>
      <c r="K134" s="5"/>
      <c r="L134" s="5"/>
      <c r="M134" s="5"/>
      <c r="N134" s="5"/>
      <c r="O134" s="5"/>
      <c r="P134" s="5"/>
      <c r="Q134" s="5"/>
      <c r="R134" s="5"/>
    </row>
    <row r="135" spans="1:18">
      <c r="A135" s="24"/>
      <c r="B135" s="5"/>
      <c r="C135" s="5"/>
      <c r="D135" s="5"/>
      <c r="E135" s="5"/>
      <c r="F135" s="5"/>
      <c r="G135" s="5"/>
      <c r="H135" s="5"/>
      <c r="I135" s="5"/>
      <c r="J135" s="5"/>
      <c r="K135" s="5"/>
      <c r="L135" s="5"/>
      <c r="M135" s="5"/>
      <c r="N135" s="5"/>
      <c r="O135" s="5"/>
      <c r="P135" s="5"/>
      <c r="Q135" s="5"/>
      <c r="R135" s="5"/>
    </row>
    <row r="136" spans="1:18">
      <c r="I136" s="5"/>
      <c r="J136" s="5"/>
      <c r="K136" s="5"/>
      <c r="L136" s="5"/>
      <c r="M136" s="5"/>
      <c r="N136" s="5"/>
      <c r="O136" s="5"/>
      <c r="P136" s="5"/>
      <c r="Q136" s="5"/>
      <c r="R136" s="5"/>
    </row>
    <row r="137" spans="1:18">
      <c r="I137" s="5"/>
      <c r="J137" s="5"/>
      <c r="K137" s="5"/>
      <c r="L137" s="5"/>
      <c r="M137" s="5"/>
      <c r="N137" s="5"/>
      <c r="O137" s="5"/>
      <c r="P137" s="5"/>
      <c r="Q137" s="5"/>
      <c r="R137" s="5"/>
    </row>
  </sheetData>
  <sheetProtection password="FE11" sheet="1" objects="1" scenarios="1" selectLockedCells="1"/>
  <dataConsolidate/>
  <mergeCells count="49">
    <mergeCell ref="B93:G93"/>
    <mergeCell ref="B92:G92"/>
    <mergeCell ref="B89:G89"/>
    <mergeCell ref="B64:G64"/>
    <mergeCell ref="A73:B73"/>
    <mergeCell ref="A71:B71"/>
    <mergeCell ref="B88:G88"/>
    <mergeCell ref="C84:D84"/>
    <mergeCell ref="C83:D83"/>
    <mergeCell ref="C82:D82"/>
    <mergeCell ref="C81:D81"/>
    <mergeCell ref="C85:D85"/>
    <mergeCell ref="C79:D79"/>
    <mergeCell ref="B91:G91"/>
    <mergeCell ref="B90:G90"/>
    <mergeCell ref="A72:G72"/>
    <mergeCell ref="D100:E100"/>
    <mergeCell ref="B100:C100"/>
    <mergeCell ref="F100:G100"/>
    <mergeCell ref="B94:D94"/>
    <mergeCell ref="B95:G95"/>
    <mergeCell ref="A98:G98"/>
    <mergeCell ref="B96:G96"/>
    <mergeCell ref="D36:E36"/>
    <mergeCell ref="F53:G53"/>
    <mergeCell ref="F60:G60"/>
    <mergeCell ref="A3:B3"/>
    <mergeCell ref="D3:G3"/>
    <mergeCell ref="A44:G44"/>
    <mergeCell ref="A18:F18"/>
    <mergeCell ref="D40:E40"/>
    <mergeCell ref="A26:G26"/>
    <mergeCell ref="F27:G27"/>
    <mergeCell ref="F101:G101"/>
    <mergeCell ref="F102:G102"/>
    <mergeCell ref="F103:G103"/>
    <mergeCell ref="F104:G104"/>
    <mergeCell ref="A1:G1"/>
    <mergeCell ref="B101:C101"/>
    <mergeCell ref="B102:C102"/>
    <mergeCell ref="B103:C103"/>
    <mergeCell ref="B104:C104"/>
    <mergeCell ref="D101:E101"/>
    <mergeCell ref="D102:E102"/>
    <mergeCell ref="D103:E103"/>
    <mergeCell ref="D104:E104"/>
    <mergeCell ref="D41:E41"/>
    <mergeCell ref="A19:G19"/>
    <mergeCell ref="A2:C2"/>
  </mergeCells>
  <phoneticPr fontId="10" type="noConversion"/>
  <dataValidations disablePrompts="1" count="7">
    <dataValidation type="list" allowBlank="1" showInputMessage="1" showErrorMessage="1" sqref="C29">
      <formula1>FUEL_TYPE</formula1>
    </dataValidation>
    <dataValidation type="list" allowBlank="1" showInputMessage="1" showErrorMessage="1" sqref="D29">
      <formula1>FUEL_SOURCE</formula1>
    </dataValidation>
    <dataValidation type="list" allowBlank="1" showInputMessage="1" showErrorMessage="1" sqref="B29">
      <formula1>TECHNOLOGY_TYPE</formula1>
    </dataValidation>
    <dataValidation type="list" allowBlank="1" showInputMessage="1" showErrorMessage="1" sqref="E21">
      <formula1>GENERATION_TYPE</formula1>
    </dataValidation>
    <dataValidation type="list" allowBlank="1" showInputMessage="1" showErrorMessage="1" sqref="F21">
      <formula1>AES</formula1>
    </dataValidation>
    <dataValidation type="list" allowBlank="1" showInputMessage="1" showErrorMessage="1" sqref="C3 G18 B31 B27">
      <formula1>YES_NO_OPTION</formula1>
    </dataValidation>
    <dataValidation type="list" allowBlank="1" showInputMessage="1" showErrorMessage="1" sqref="B15">
      <formula1>CUSTOMER_TYPE</formula1>
    </dataValidation>
  </dataValidations>
  <pageMargins left="0.25" right="0.25" top="1.25" bottom="0.25" header="0.3" footer="0.3"/>
  <pageSetup scale="75" fitToWidth="0" fitToHeight="0" orientation="portrait"/>
  <headerFooter>
    <oddHeader>&amp;L&amp;G&amp;C&amp;12&amp;K000000  &amp;"Century Gothic,Regular"2015 SELF GENERATION INCENTIVE PROGRAM: PROOF OF PROJECT MILESTONE FORM
 v.3&amp;"-,Regular"/&amp;"Century Gothic,Regular"&amp;9July 2015</oddHeader>
    <oddFooter>&amp;L&amp;D&amp;C2015 Proof of Project Milestone&amp;R&amp;P</oddFooter>
  </headerFooter>
  <rowBreaks count="2" manualBreakCount="2">
    <brk id="27" max="6" man="1"/>
    <brk id="73" max="6" man="1"/>
  </rowBreaks>
  <ignoredErrors>
    <ignoredError sqref="B51:B52" evalError="1"/>
  </ignoredErrors>
  <legacyDrawingHF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Data!$S$5:$S$7</xm:f>
          </x14:formula1>
          <xm:sqref>E94</xm:sqref>
        </x14:dataValidation>
      </x14:dataValidations>
    </ex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9"/>
  <sheetViews>
    <sheetView showGridLines="0" showRowColHeaders="0" tabSelected="1" view="pageLayout" topLeftCell="A2" zoomScale="115" zoomScaleNormal="130" zoomScalePageLayoutView="130" workbookViewId="0">
      <selection activeCell="B2" sqref="B2:H2"/>
    </sheetView>
  </sheetViews>
  <sheetFormatPr baseColWidth="10" defaultColWidth="8.83203125" defaultRowHeight="11" x14ac:dyDescent="0"/>
  <cols>
    <col min="1" max="1" width="8.83203125" style="98"/>
    <col min="2" max="2" width="18" style="98" customWidth="1"/>
    <col min="3" max="5" width="16.83203125" style="98" customWidth="1"/>
    <col min="6" max="6" width="20.5" style="98" customWidth="1"/>
    <col min="7" max="7" width="16.83203125" style="98" customWidth="1"/>
    <col min="8" max="8" width="15.5" style="98" bestFit="1" customWidth="1"/>
    <col min="9" max="16384" width="8.83203125" style="98"/>
  </cols>
  <sheetData>
    <row r="2" spans="2:8" ht="20">
      <c r="B2" s="381" t="s">
        <v>123</v>
      </c>
      <c r="C2" s="381"/>
      <c r="D2" s="381"/>
      <c r="E2" s="381"/>
      <c r="F2" s="381"/>
      <c r="G2" s="381"/>
      <c r="H2" s="381"/>
    </row>
    <row r="3" spans="2:8" ht="13.5" customHeight="1">
      <c r="B3" s="99"/>
      <c r="C3" s="99"/>
      <c r="D3" s="99"/>
      <c r="E3" s="99"/>
      <c r="F3" s="99"/>
      <c r="G3" s="99"/>
      <c r="H3" s="99"/>
    </row>
    <row r="4" spans="2:8" ht="15">
      <c r="B4" s="382" t="s">
        <v>124</v>
      </c>
      <c r="C4" s="382"/>
      <c r="D4" s="382"/>
      <c r="E4" s="382"/>
      <c r="F4" s="218" t="e">
        <f>ROUND(IF('2015 Proof of Project Milestone'!C3="Yes",('2015 Proof of Project Milestone'!C25/'2015 Proof of Project Milestone'!E81)*'2015 Proof of Project Milestone'!G34, "------"),0)</f>
        <v>#VALUE!</v>
      </c>
      <c r="G4" s="115" t="s">
        <v>125</v>
      </c>
      <c r="H4" s="99"/>
    </row>
    <row r="5" spans="2:8">
      <c r="B5" s="100"/>
      <c r="C5" s="100"/>
      <c r="D5" s="100"/>
      <c r="E5" s="100"/>
      <c r="F5" s="100"/>
      <c r="G5" s="99"/>
      <c r="H5" s="99"/>
    </row>
    <row r="6" spans="2:8" ht="22">
      <c r="B6" s="219" t="s">
        <v>67</v>
      </c>
      <c r="C6" s="220"/>
      <c r="D6" s="220"/>
      <c r="E6" s="220"/>
      <c r="F6" s="220"/>
      <c r="G6" s="221"/>
      <c r="H6" s="222"/>
    </row>
    <row r="7" spans="2:8">
      <c r="B7" s="101"/>
      <c r="C7" s="144" t="s">
        <v>50</v>
      </c>
      <c r="D7" s="145" t="s">
        <v>51</v>
      </c>
      <c r="E7" s="145" t="s">
        <v>68</v>
      </c>
      <c r="F7" s="143" t="s">
        <v>45</v>
      </c>
      <c r="G7" s="143"/>
      <c r="H7" s="144"/>
    </row>
    <row r="8" spans="2:8" ht="21.75" customHeight="1">
      <c r="B8" s="101" t="s">
        <v>103</v>
      </c>
      <c r="C8" s="167">
        <f>VLOOKUP('2015 Proof of Project Milestone'!$B$29,Data!$H$4:$I$14,2,FALSE)</f>
        <v>0</v>
      </c>
      <c r="D8" s="168">
        <f>ROUND(C8/2,2)</f>
        <v>0</v>
      </c>
      <c r="E8" s="168">
        <f>ROUND(D8/2,2)</f>
        <v>0</v>
      </c>
      <c r="F8" s="169"/>
      <c r="G8" s="223"/>
      <c r="H8" s="224"/>
    </row>
    <row r="9" spans="2:8" ht="43.5" customHeight="1">
      <c r="B9" s="102" t="s">
        <v>105</v>
      </c>
      <c r="C9" s="225" t="e">
        <f>IF('2015 Proof of Project Milestone'!B29="Advanced Energy Storage"=TRUE,IF('2015 Proof of Project Milestone'!F25+F4&lt;1000,'Export to Grid Calculation'!F4,IF(1000-'2015 Proof of Project Milestone'!F25&lt;0,0,1000-'2015 Proof of Project Milestone'!F25)),IF('2015 Proof of Project Milestone'!E25+'Export to Grid Calculation'!F4&lt;1000,'Export to Grid Calculation'!F4,IF(1000-'2015 Proof of Project Milestone'!E25&lt;0,0,1000-'2015 Proof of Project Milestone'!E25)))</f>
        <v>#VALUE!</v>
      </c>
      <c r="D9" s="226" t="e">
        <f>IF('2015 Proof of Project Milestone'!B29="Advanced Energy Storage"=TRUE, IF(F4-C9+D10&lt;1000,F4-C9,IF(F4-C9+D10&gt;1000, 1000-D10, IF(F4-C9&lt;1000,F4-C9,1000))), IF(F4-C9+D10&lt;1000,F4-C9,IF(F4-C9+D10&gt;1000, 1000-D10, IF(F4-C9&lt;1000,F4-C9,1000))))</f>
        <v>#VALUE!</v>
      </c>
      <c r="E9" s="226" t="e">
        <f>IF('2015 Proof of Project Milestone'!B29="Advanced Energy Storage"=TRUE, IF(F4-D9-C9+E10&lt;1000,F4-D9-C9,IF(F4-D9-C9+E10&gt;1000, 1000-E10, IF(F4-D9-C9&lt;1000,F4-D9-C9,1000))),  IF(F4-D9-C9+E10&lt;1000,F4-D9-C9,IF(F4-D9-C9+E10&gt;1000, 1000-E10, IF(F4-D9-C9&lt;1000,F4-D9-C9,1000))))</f>
        <v>#VALUE!</v>
      </c>
      <c r="F9" s="227" t="e">
        <f>SUM(C9:E9)</f>
        <v>#VALUE!</v>
      </c>
      <c r="G9" s="228"/>
      <c r="H9" s="229"/>
    </row>
    <row r="10" spans="2:8" ht="43.5" hidden="1" customHeight="1">
      <c r="B10" s="102" t="s">
        <v>106</v>
      </c>
      <c r="C10" s="225">
        <f>IF('2015 Proof of Project Milestone'!$B$29="Advanced Energy Storage"=TRUE,IF('2015 Proof of Project Milestone'!F25&gt;1000,1000,'2015 Proof of Project Milestone'!F25),IF('2015 Proof of Project Milestone'!E25&gt;1000,1000,'2015 Proof of Project Milestone'!E25))</f>
        <v>0</v>
      </c>
      <c r="D10" s="226">
        <f>IF('2015 Proof of Project Milestone'!$B$29="Advanced Energy Storage"=TRUE,IF('2015 Proof of Project Milestone'!F25&gt;2000,1000,'2015 Proof of Project Milestone'!F25-C10),IF('2015 Proof of Project Milestone'!E25&gt;2000,1000,'2015 Proof of Project Milestone'!E25-C10))</f>
        <v>0</v>
      </c>
      <c r="E10" s="226">
        <f>IF('2015 Proof of Project Milestone'!$B$29="Advanced Energy Storage"=TRUE,IF('2015 Proof of Project Milestone'!F25-C10-D10&gt;1000,1000,'2015 Proof of Project Milestone'!F25-C10-D10),IF('2015 Proof of Project Milestone'!E25-C10-D10&gt;1000,1000,'2015 Proof of Project Milestone'!E25-C10-D10))</f>
        <v>0</v>
      </c>
      <c r="F10" s="227">
        <f>SUM(C10:E10)</f>
        <v>0</v>
      </c>
      <c r="G10" s="228"/>
      <c r="H10" s="229"/>
    </row>
    <row r="11" spans="2:8" ht="16.5" hidden="1" customHeight="1">
      <c r="B11" s="102" t="s">
        <v>107</v>
      </c>
      <c r="C11" s="230" t="e">
        <f>C9+C10</f>
        <v>#VALUE!</v>
      </c>
      <c r="D11" s="231" t="e">
        <f t="shared" ref="D11:E11" si="0">D9+D10</f>
        <v>#VALUE!</v>
      </c>
      <c r="E11" s="231" t="e">
        <f t="shared" si="0"/>
        <v>#VALUE!</v>
      </c>
      <c r="F11" s="232" t="e">
        <f>SUM(C11:E11)</f>
        <v>#VALUE!</v>
      </c>
      <c r="G11" s="233"/>
      <c r="H11" s="234"/>
    </row>
    <row r="12" spans="2:8" ht="3" customHeight="1">
      <c r="B12" s="62"/>
      <c r="C12" s="235"/>
      <c r="D12" s="236"/>
      <c r="E12" s="236"/>
      <c r="F12" s="236"/>
      <c r="G12" s="237"/>
      <c r="H12" s="238"/>
    </row>
    <row r="13" spans="2:8" ht="21.75" customHeight="1">
      <c r="B13" s="103" t="s">
        <v>64</v>
      </c>
      <c r="C13" s="167" t="e">
        <f>1000*(C8*C9)</f>
        <v>#VALUE!</v>
      </c>
      <c r="D13" s="167" t="e">
        <f t="shared" ref="D13:E13" si="1">1000*(D8*D9)</f>
        <v>#VALUE!</v>
      </c>
      <c r="E13" s="167" t="e">
        <f t="shared" si="1"/>
        <v>#VALUE!</v>
      </c>
      <c r="F13" s="182" t="e">
        <f>SUM(C13:E13)</f>
        <v>#VALUE!</v>
      </c>
      <c r="G13" s="239"/>
      <c r="H13" s="240"/>
    </row>
    <row r="14" spans="2:8" ht="21.75" customHeight="1">
      <c r="B14" s="103" t="s">
        <v>65</v>
      </c>
      <c r="C14" s="185" t="str">
        <f>IF('2015 Proof of Project Milestone'!B31="YES",1.2*1000*(C8*C9)-C13,"0")</f>
        <v>0</v>
      </c>
      <c r="D14" s="185" t="str">
        <f>IF('2015 Proof of Project Milestone'!B31="YES",1.2*1000*(D8*D9)-D13,"0")</f>
        <v>0</v>
      </c>
      <c r="E14" s="185" t="str">
        <f>IF('2015 Proof of Project Milestone'!B31="YES",1.2*1000*(E8*E9)-E13,"0")</f>
        <v>0</v>
      </c>
      <c r="F14" s="187" t="str">
        <f>IF('2015 Proof of Project Milestone'!B31="YES",1.2*SUM(C13:E13)-F13,"0")</f>
        <v>0</v>
      </c>
      <c r="G14" s="241"/>
      <c r="H14" s="242"/>
    </row>
    <row r="15" spans="2:8" ht="21.75" customHeight="1">
      <c r="B15" s="103" t="s">
        <v>122</v>
      </c>
      <c r="C15" s="185"/>
      <c r="D15" s="186"/>
      <c r="E15" s="186"/>
      <c r="F15" s="190">
        <f>H29</f>
        <v>0</v>
      </c>
      <c r="G15" s="329"/>
      <c r="H15" s="330"/>
    </row>
    <row r="16" spans="2:8" ht="21.75" customHeight="1">
      <c r="B16" s="103" t="s">
        <v>66</v>
      </c>
      <c r="C16" s="191"/>
      <c r="D16" s="192"/>
      <c r="E16" s="192"/>
      <c r="F16" s="243" t="e">
        <f>IF(F13+F14+F15&lt;0,0,F13+F14+F15)</f>
        <v>#VALUE!</v>
      </c>
      <c r="G16" s="244"/>
      <c r="H16" s="245"/>
    </row>
    <row r="17" spans="2:8" ht="22">
      <c r="B17" s="219" t="s">
        <v>56</v>
      </c>
      <c r="C17" s="246"/>
      <c r="D17" s="220"/>
      <c r="E17" s="220"/>
      <c r="F17" s="220"/>
      <c r="G17" s="247"/>
      <c r="H17" s="248"/>
    </row>
    <row r="18" spans="2:8">
      <c r="B18" s="90"/>
      <c r="C18" s="145" t="s">
        <v>50</v>
      </c>
      <c r="D18" s="145" t="s">
        <v>51</v>
      </c>
      <c r="E18" s="145" t="s">
        <v>68</v>
      </c>
      <c r="F18" s="145" t="s">
        <v>45</v>
      </c>
      <c r="G18" s="142"/>
      <c r="H18" s="144"/>
    </row>
    <row r="19" spans="2:8" ht="21.75" customHeight="1">
      <c r="B19" s="101" t="s">
        <v>103</v>
      </c>
      <c r="C19" s="167">
        <f>IF(OR('2015 Proof of Project Milestone'!$C$29="Landfill Gas",'2015 Proof of Project Milestone'!C29="Digester Gas",'2015 Proof of Project Milestone'!C29="Gas derived from biomass"),Data!$M$4,0)</f>
        <v>0</v>
      </c>
      <c r="D19" s="168">
        <f>ROUND(C19/2,2)</f>
        <v>0</v>
      </c>
      <c r="E19" s="168">
        <f>ROUND(D19/2,2)</f>
        <v>0</v>
      </c>
      <c r="F19" s="196"/>
      <c r="G19" s="250"/>
      <c r="H19" s="224"/>
    </row>
    <row r="20" spans="2:8" ht="21.75" customHeight="1">
      <c r="B20" s="102" t="s">
        <v>104</v>
      </c>
      <c r="C20" s="230">
        <f>IF(AND(NOT('2015 Proof of Project Milestone'!$B$29="Wind Turbine"),NOT('2015 Proof of Project Milestone'!$B$29="Advanced Energy Storage"),NOT('2015 Proof of Project Milestone'!$B$29="Pressure Reduction Turbine"),NOT('2015 Proof of Project Milestone'!$B$29="Waste Heat to Power"),OR('2015 Proof of Project Milestone'!$C$29="Landfill Gas",'2015 Proof of Project Milestone'!$C$29= "Digester Gas", '2015 Proof of Project Milestone'!$C$29="Gas derived from biomass")),C9,0)</f>
        <v>0</v>
      </c>
      <c r="D20" s="230">
        <f>IF(AND(NOT('2015 Proof of Project Milestone'!$B$29="Wind Turbine"),NOT('2015 Proof of Project Milestone'!$B$29="Advanced Energy Storage"),NOT('2015 Proof of Project Milestone'!$B$29="Pressure Reduction Turbine"),NOT('2015 Proof of Project Milestone'!$B$29="Waste Heat to Power"),OR('2015 Proof of Project Milestone'!$C$29="Landfill Gas",'2015 Proof of Project Milestone'!$C$29= "Digester Gas", '2015 Proof of Project Milestone'!$C$29="Gas derived from biomass")),D9,0)</f>
        <v>0</v>
      </c>
      <c r="E20" s="230">
        <f>IF(AND(NOT('2015 Proof of Project Milestone'!$B$29="Wind Turbine"),NOT('2015 Proof of Project Milestone'!$B$29="Advanced Energy Storage"),NOT('2015 Proof of Project Milestone'!$B$29="Pressure Reduction Turbine"),NOT('2015 Proof of Project Milestone'!$B$29="Waste Heat to Power"),OR('2015 Proof of Project Milestone'!$C$29="Landfill Gas",'2015 Proof of Project Milestone'!$C$29= "Digester Gas", '2015 Proof of Project Milestone'!$C$29="Gas derived from biomass")),E9,0)</f>
        <v>0</v>
      </c>
      <c r="F20" s="251">
        <f>SUM(C20:E20)</f>
        <v>0</v>
      </c>
      <c r="G20" s="250"/>
      <c r="H20" s="224"/>
    </row>
    <row r="21" spans="2:8" ht="3" customHeight="1">
      <c r="B21" s="104"/>
      <c r="C21" s="57"/>
      <c r="D21" s="57"/>
      <c r="E21" s="57"/>
      <c r="F21" s="57"/>
      <c r="G21" s="57"/>
      <c r="H21" s="58"/>
    </row>
    <row r="22" spans="2:8" ht="21.75" customHeight="1">
      <c r="B22" s="103" t="s">
        <v>64</v>
      </c>
      <c r="C22" s="167">
        <f>1000*C19*C20</f>
        <v>0</v>
      </c>
      <c r="D22" s="167">
        <f t="shared" ref="D22:E22" si="2">1000*D19*D20</f>
        <v>0</v>
      </c>
      <c r="E22" s="167">
        <f t="shared" si="2"/>
        <v>0</v>
      </c>
      <c r="F22" s="199">
        <f>SUM(C22:E22)</f>
        <v>0</v>
      </c>
      <c r="G22" s="252"/>
      <c r="H22" s="242"/>
    </row>
    <row r="23" spans="2:8" ht="21.75" customHeight="1">
      <c r="B23" s="103" t="s">
        <v>121</v>
      </c>
      <c r="C23" s="185"/>
      <c r="D23" s="186"/>
      <c r="E23" s="186"/>
      <c r="F23" s="201">
        <f>H30</f>
        <v>0</v>
      </c>
      <c r="G23" s="331"/>
      <c r="H23" s="332"/>
    </row>
    <row r="24" spans="2:8" ht="21.75" customHeight="1">
      <c r="B24" s="103" t="s">
        <v>89</v>
      </c>
      <c r="C24" s="191"/>
      <c r="D24" s="192"/>
      <c r="E24" s="192"/>
      <c r="F24" s="253">
        <f>IF(F22+F23&lt;0,0,F22+F23)</f>
        <v>0</v>
      </c>
      <c r="G24" s="254"/>
      <c r="H24" s="255"/>
    </row>
    <row r="25" spans="2:8" ht="3" customHeight="1">
      <c r="B25" s="105"/>
      <c r="C25" s="57"/>
      <c r="D25" s="57"/>
      <c r="E25" s="57"/>
      <c r="F25" s="57"/>
      <c r="G25" s="57"/>
      <c r="H25" s="58"/>
    </row>
    <row r="26" spans="2:8" ht="21.75" customHeight="1">
      <c r="B26" s="103" t="s">
        <v>69</v>
      </c>
      <c r="C26" s="205"/>
      <c r="D26" s="206"/>
      <c r="E26" s="206"/>
      <c r="F26" s="256" t="e">
        <f>F16+F24</f>
        <v>#VALUE!</v>
      </c>
      <c r="G26" s="252"/>
      <c r="H26" s="242"/>
    </row>
    <row r="27" spans="2:8" ht="21.75" customHeight="1">
      <c r="B27" s="249" t="s">
        <v>119</v>
      </c>
      <c r="C27" s="383" t="s">
        <v>120</v>
      </c>
      <c r="D27" s="384"/>
      <c r="E27" s="384"/>
      <c r="F27" s="384"/>
      <c r="G27" s="384"/>
      <c r="H27" s="385"/>
    </row>
    <row r="28" spans="2:8">
      <c r="B28" s="92"/>
      <c r="C28" s="106"/>
      <c r="D28" s="11" t="s">
        <v>83</v>
      </c>
      <c r="E28" s="11" t="s">
        <v>84</v>
      </c>
      <c r="F28" s="11" t="s">
        <v>88</v>
      </c>
      <c r="G28" s="11" t="s">
        <v>86</v>
      </c>
      <c r="H28" s="11" t="s">
        <v>61</v>
      </c>
    </row>
    <row r="29" spans="2:8">
      <c r="B29" s="92" t="s">
        <v>87</v>
      </c>
      <c r="C29" s="106"/>
      <c r="D29" s="12" t="e">
        <f>F13+F14</f>
        <v>#VALUE!</v>
      </c>
      <c r="E29" s="12"/>
      <c r="F29" s="13">
        <f>'2015 Proof of Project Milestone'!D38+0.5*'2015 Proof of Project Milestone'!E38</f>
        <v>0</v>
      </c>
      <c r="G29" s="13"/>
      <c r="H29" s="14">
        <f>-F29</f>
        <v>0</v>
      </c>
    </row>
    <row r="30" spans="2:8">
      <c r="B30" s="92" t="s">
        <v>85</v>
      </c>
      <c r="C30" s="106"/>
      <c r="D30" s="10"/>
      <c r="E30" s="12">
        <f>F22</f>
        <v>0</v>
      </c>
      <c r="F30" s="10"/>
      <c r="G30" s="13">
        <f>IF('2015 Proof of Project Milestone'!D29="Directed", ('2015 Proof of Project Milestone'!D43-'2015 Proof of Project Milestone'!B43)*10*'2015 Proof of Project Milestone'!E43,0)</f>
        <v>0</v>
      </c>
      <c r="H30" s="14">
        <f>IF(OR('2015 Proof of Project Milestone'!D29="On-site",'2015 Proof of Project Milestone'!D29="------"),0,IF(E30&lt;=G30,0,G30-E30))</f>
        <v>0</v>
      </c>
    </row>
    <row r="31" spans="2:8" ht="22">
      <c r="B31" s="92" t="s">
        <v>70</v>
      </c>
      <c r="C31" s="106"/>
      <c r="D31" s="14" t="e">
        <f>IF(D29+H29&lt;0,0,D29+H29)</f>
        <v>#VALUE!</v>
      </c>
      <c r="E31" s="11"/>
      <c r="F31" s="11"/>
      <c r="G31" s="14">
        <f>(1-0.4-'2015 Proof of Project Milestone'!C38)*'2015 Proof of Project Milestone'!B38</f>
        <v>0</v>
      </c>
      <c r="H31" s="14" t="e">
        <f>IF(D31&lt;=G31,0,G31-D31)</f>
        <v>#VALUE!</v>
      </c>
    </row>
    <row r="32" spans="2:8" ht="22">
      <c r="B32" s="92" t="s">
        <v>62</v>
      </c>
      <c r="C32" s="106"/>
      <c r="D32" s="14" t="e">
        <f>D31+H31</f>
        <v>#VALUE!</v>
      </c>
      <c r="E32" s="14">
        <f>F24</f>
        <v>0</v>
      </c>
      <c r="F32" s="11"/>
      <c r="G32" s="14">
        <v>5000000</v>
      </c>
      <c r="H32" s="14" t="e">
        <f>IF((D32+E32)&lt;=G32,0,G32-(D32+E32))</f>
        <v>#VALUE!</v>
      </c>
    </row>
    <row r="33" spans="2:8" ht="22">
      <c r="B33" s="92" t="s">
        <v>63</v>
      </c>
      <c r="C33" s="106"/>
      <c r="D33" s="14" t="e">
        <f>D32+H32</f>
        <v>#VALUE!</v>
      </c>
      <c r="E33" s="14">
        <f>E32</f>
        <v>0</v>
      </c>
      <c r="F33" s="45">
        <f>'2015 Proof of Project Milestone'!D38+0.5*'2015 Proof of Project Milestone'!E38</f>
        <v>0</v>
      </c>
      <c r="G33" s="14">
        <f>'2015 Proof of Project Milestone'!B38</f>
        <v>0</v>
      </c>
      <c r="H33" s="14" t="e">
        <f>IF((D33+E33+F33)&lt;=G33,0,G33-(D33+E33+F33))</f>
        <v>#VALUE!</v>
      </c>
    </row>
    <row r="34" spans="2:8" ht="21.75" customHeight="1">
      <c r="B34" s="386" t="s">
        <v>90</v>
      </c>
      <c r="C34" s="368"/>
      <c r="D34" s="151"/>
      <c r="E34" s="150"/>
      <c r="F34" s="257" t="e">
        <f>SUM(H31:H33)</f>
        <v>#VALUE!</v>
      </c>
      <c r="G34" s="150"/>
      <c r="H34" s="258"/>
    </row>
    <row r="35" spans="2:8" ht="3" customHeight="1">
      <c r="B35" s="107"/>
      <c r="C35" s="108"/>
      <c r="D35" s="108"/>
      <c r="E35" s="108"/>
      <c r="F35" s="108"/>
      <c r="G35" s="108"/>
      <c r="H35" s="109"/>
    </row>
    <row r="36" spans="2:8" ht="22.5" customHeight="1">
      <c r="B36" s="387" t="s">
        <v>91</v>
      </c>
      <c r="C36" s="374"/>
      <c r="D36" s="110"/>
      <c r="E36" s="110"/>
      <c r="F36" s="111" t="e">
        <f>IF(F26&lt;=0,0,IF(F26+F34&lt;0,0,F26+F34))</f>
        <v>#VALUE!</v>
      </c>
      <c r="G36" s="112"/>
      <c r="H36" s="113"/>
    </row>
    <row r="37" spans="2:8" ht="22.5" customHeight="1">
      <c r="B37" s="91"/>
      <c r="C37" s="70"/>
      <c r="D37" s="70"/>
      <c r="E37" s="70"/>
      <c r="F37" s="70"/>
      <c r="G37" s="70"/>
      <c r="H37" s="70"/>
    </row>
    <row r="38" spans="2:8">
      <c r="B38" s="91"/>
      <c r="C38" s="70"/>
      <c r="D38" s="70"/>
      <c r="E38" s="70"/>
      <c r="F38" s="70"/>
      <c r="G38" s="70"/>
      <c r="H38" s="70"/>
    </row>
    <row r="39" spans="2:8" hidden="1">
      <c r="B39" s="70"/>
      <c r="C39" s="71"/>
      <c r="D39" s="71"/>
      <c r="E39" s="71"/>
      <c r="F39" s="71"/>
      <c r="G39" s="71"/>
      <c r="H39" s="71"/>
    </row>
    <row r="40" spans="2:8">
      <c r="B40" s="70"/>
      <c r="C40" s="71"/>
      <c r="D40" s="71"/>
      <c r="E40" s="71"/>
      <c r="F40" s="71"/>
      <c r="G40" s="71"/>
      <c r="H40" s="71"/>
    </row>
    <row r="41" spans="2:8">
      <c r="B41" s="91"/>
      <c r="C41" s="70"/>
      <c r="D41" s="70"/>
      <c r="E41" s="26"/>
      <c r="F41" s="70"/>
      <c r="G41" s="70"/>
      <c r="H41" s="70"/>
    </row>
    <row r="42" spans="2:8" ht="22.5" customHeight="1">
      <c r="B42" s="72"/>
      <c r="C42" s="72"/>
      <c r="D42" s="373" t="s">
        <v>72</v>
      </c>
      <c r="E42" s="374"/>
      <c r="F42" s="161" t="s">
        <v>54</v>
      </c>
      <c r="G42" s="41"/>
      <c r="H42" s="41"/>
    </row>
    <row r="43" spans="2:8" ht="22.5" customHeight="1">
      <c r="B43" s="73"/>
      <c r="C43" s="26"/>
      <c r="D43" s="375" t="s">
        <v>130</v>
      </c>
      <c r="E43" s="376"/>
      <c r="F43" s="165">
        <f>'2015 Proof of Project Milestone'!C25</f>
        <v>0</v>
      </c>
      <c r="G43" s="26"/>
      <c r="H43" s="26"/>
    </row>
    <row r="44" spans="2:8" ht="22.5" customHeight="1">
      <c r="B44" s="73"/>
      <c r="C44" s="26"/>
      <c r="D44" s="373" t="s">
        <v>117</v>
      </c>
      <c r="E44" s="374"/>
      <c r="F44" s="209" t="e">
        <f>IF(F4&lt;30,0,F36)</f>
        <v>#VALUE!</v>
      </c>
      <c r="G44" s="26"/>
      <c r="H44" s="26"/>
    </row>
    <row r="45" spans="2:8" ht="22.5" customHeight="1">
      <c r="B45" s="73"/>
      <c r="C45" s="26"/>
      <c r="D45" s="373" t="s">
        <v>118</v>
      </c>
      <c r="E45" s="374"/>
      <c r="F45" s="209" t="e">
        <f>F44/2</f>
        <v>#VALUE!</v>
      </c>
      <c r="G45" s="26"/>
      <c r="H45" s="26"/>
    </row>
    <row r="46" spans="2:8" ht="22.5" customHeight="1">
      <c r="B46" s="73"/>
      <c r="C46" s="26"/>
      <c r="D46" s="373" t="s">
        <v>111</v>
      </c>
      <c r="E46" s="374"/>
      <c r="F46" s="209" t="e">
        <f>F44-F45</f>
        <v>#VALUE!</v>
      </c>
      <c r="G46" s="26"/>
      <c r="H46" s="26"/>
    </row>
    <row r="47" spans="2:8" ht="22.5" customHeight="1">
      <c r="B47" s="73"/>
      <c r="C47" s="26"/>
      <c r="D47" s="373" t="s">
        <v>110</v>
      </c>
      <c r="E47" s="374"/>
      <c r="F47" s="114" t="e">
        <f>F46/5/F43</f>
        <v>#VALUE!</v>
      </c>
      <c r="G47" s="75"/>
      <c r="H47" s="26"/>
    </row>
    <row r="49" spans="2:8">
      <c r="B49" s="380" t="e">
        <f>IF(F4&gt;0, "IF YOU ELECTED EXPORT TO GRID FOR YOUR PROJECT, DO NOT FORGET TO PRINT THIS TAB AND THE FIRST TAB. SUBMIT BOTH TO YOUR PROGRAM ADMINISTRATOR","-")</f>
        <v>#VALUE!</v>
      </c>
      <c r="C49" s="380"/>
      <c r="D49" s="380"/>
      <c r="E49" s="380"/>
      <c r="F49" s="380"/>
      <c r="G49" s="380"/>
      <c r="H49" s="380"/>
    </row>
  </sheetData>
  <sheetProtection password="FE11" sheet="1" objects="1" scenarios="1" selectLockedCells="1"/>
  <mergeCells count="14">
    <mergeCell ref="D43:E43"/>
    <mergeCell ref="B49:H49"/>
    <mergeCell ref="B2:H2"/>
    <mergeCell ref="B4:E4"/>
    <mergeCell ref="D44:E44"/>
    <mergeCell ref="D45:E45"/>
    <mergeCell ref="D46:E46"/>
    <mergeCell ref="D47:E47"/>
    <mergeCell ref="G15:H15"/>
    <mergeCell ref="G23:H23"/>
    <mergeCell ref="C27:H27"/>
    <mergeCell ref="B34:C34"/>
    <mergeCell ref="B36:C36"/>
    <mergeCell ref="D42:E42"/>
  </mergeCells>
  <phoneticPr fontId="10" type="noConversion"/>
  <pageMargins left="0.25" right="0.25" top="1.25" bottom="0.25" header="0.3" footer="0.3"/>
  <pageSetup scale="69" orientation="portrait"/>
  <headerFooter>
    <oddHeader>&amp;L&amp;G&amp;C  &amp;"Century Gothic,Regular"&amp;12 2015 SELF GENERATION INCENTIVE PROGRAM: PROOF OF PROJECT MILESTONE FORM
 v.3&amp;"-,Regular"&amp;11/July&amp;"Century Gothic,Regular"&amp;9 2015</oddHeader>
  </headerFooter>
  <legacyDrawingHF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5"/>
  <sheetViews>
    <sheetView workbookViewId="0">
      <selection activeCell="B13" sqref="B13"/>
    </sheetView>
  </sheetViews>
  <sheetFormatPr baseColWidth="10" defaultColWidth="9" defaultRowHeight="22.5" customHeight="1" x14ac:dyDescent="0"/>
  <cols>
    <col min="2" max="2" width="12.33203125" style="116" customWidth="1"/>
    <col min="3" max="3" width="9" style="116"/>
    <col min="4" max="4" width="12.5" style="116" customWidth="1"/>
    <col min="5" max="24" width="9" style="116"/>
  </cols>
  <sheetData>
    <row r="2" spans="2:26" ht="22.5" customHeight="1">
      <c r="B2" s="10" t="s">
        <v>161</v>
      </c>
      <c r="D2" s="10" t="s">
        <v>162</v>
      </c>
      <c r="F2" s="10" t="s">
        <v>96</v>
      </c>
      <c r="H2" s="388" t="s">
        <v>46</v>
      </c>
      <c r="I2" s="389"/>
      <c r="J2" s="10" t="s">
        <v>53</v>
      </c>
      <c r="L2" s="10" t="s">
        <v>163</v>
      </c>
      <c r="M2" s="10" t="s">
        <v>93</v>
      </c>
      <c r="O2" s="388" t="s">
        <v>164</v>
      </c>
      <c r="P2" s="389"/>
      <c r="Q2" s="10"/>
      <c r="S2" s="10" t="s">
        <v>47</v>
      </c>
      <c r="T2" s="10"/>
      <c r="U2" s="10"/>
      <c r="W2" s="388" t="s">
        <v>165</v>
      </c>
      <c r="X2" s="389"/>
      <c r="Z2" s="10" t="s">
        <v>166</v>
      </c>
    </row>
    <row r="3" spans="2:26" ht="22.5" customHeight="1">
      <c r="B3" s="117" t="s">
        <v>16</v>
      </c>
      <c r="D3" s="117" t="s">
        <v>59</v>
      </c>
      <c r="F3" s="117" t="s">
        <v>27</v>
      </c>
      <c r="H3" s="117" t="s">
        <v>27</v>
      </c>
      <c r="I3" s="10"/>
      <c r="J3" s="10"/>
      <c r="L3" s="117" t="s">
        <v>27</v>
      </c>
      <c r="M3" s="10"/>
      <c r="O3" s="117" t="s">
        <v>27</v>
      </c>
      <c r="P3" s="10"/>
      <c r="Q3" s="10"/>
      <c r="S3" s="10"/>
      <c r="T3" s="10"/>
      <c r="U3" s="10"/>
      <c r="W3" s="117" t="s">
        <v>27</v>
      </c>
      <c r="X3" s="10" t="s">
        <v>131</v>
      </c>
      <c r="Z3" s="117" t="s">
        <v>27</v>
      </c>
    </row>
    <row r="4" spans="2:26" ht="22.5" customHeight="1">
      <c r="B4" s="10" t="s">
        <v>12</v>
      </c>
      <c r="D4" s="10" t="s">
        <v>57</v>
      </c>
      <c r="F4" s="10" t="s">
        <v>100</v>
      </c>
      <c r="H4" s="10" t="s">
        <v>4</v>
      </c>
      <c r="I4" s="118">
        <v>0.44</v>
      </c>
      <c r="J4" s="119">
        <v>0.8</v>
      </c>
      <c r="L4" s="10" t="s">
        <v>28</v>
      </c>
      <c r="M4" s="118">
        <v>1.46</v>
      </c>
      <c r="O4" s="10" t="s">
        <v>34</v>
      </c>
      <c r="P4" s="10"/>
      <c r="Q4" s="10"/>
      <c r="S4" s="117" t="s">
        <v>27</v>
      </c>
      <c r="T4" s="10"/>
      <c r="U4" s="10"/>
      <c r="W4" s="10" t="s">
        <v>4</v>
      </c>
      <c r="X4" s="10" t="s">
        <v>131</v>
      </c>
      <c r="Z4" s="117" t="s">
        <v>48</v>
      </c>
    </row>
    <row r="5" spans="2:26" ht="22.5" customHeight="1">
      <c r="B5" s="10" t="s">
        <v>13</v>
      </c>
      <c r="D5" s="10" t="s">
        <v>58</v>
      </c>
      <c r="F5" s="10" t="s">
        <v>101</v>
      </c>
      <c r="H5" s="10" t="s">
        <v>5</v>
      </c>
      <c r="I5" s="118">
        <v>0.44</v>
      </c>
      <c r="J5" s="119">
        <v>0.8</v>
      </c>
      <c r="L5" s="10" t="s">
        <v>29</v>
      </c>
      <c r="M5" s="120">
        <v>1.46</v>
      </c>
      <c r="O5" s="10" t="s">
        <v>35</v>
      </c>
      <c r="P5" s="10"/>
      <c r="Q5" s="10"/>
      <c r="S5" s="117" t="s">
        <v>48</v>
      </c>
      <c r="T5" s="10"/>
      <c r="U5" s="10"/>
      <c r="W5" s="10" t="s">
        <v>5</v>
      </c>
      <c r="X5" s="10" t="s">
        <v>131</v>
      </c>
      <c r="Z5" s="10" t="s">
        <v>49</v>
      </c>
    </row>
    <row r="6" spans="2:26" ht="22.5" customHeight="1">
      <c r="B6" s="10" t="s">
        <v>14</v>
      </c>
      <c r="D6" s="10" t="s">
        <v>60</v>
      </c>
      <c r="F6" s="10" t="s">
        <v>97</v>
      </c>
      <c r="H6" s="10" t="s">
        <v>6</v>
      </c>
      <c r="I6" s="118">
        <v>0.44</v>
      </c>
      <c r="J6" s="119">
        <v>0.8</v>
      </c>
      <c r="L6" s="10" t="s">
        <v>126</v>
      </c>
      <c r="M6" s="120">
        <v>1.46</v>
      </c>
      <c r="S6" s="10" t="s">
        <v>49</v>
      </c>
      <c r="T6" s="10"/>
      <c r="U6" s="10"/>
      <c r="W6" s="10" t="s">
        <v>6</v>
      </c>
      <c r="X6" s="10" t="s">
        <v>131</v>
      </c>
    </row>
    <row r="7" spans="2:26" ht="22.5" customHeight="1">
      <c r="B7" s="309" t="s">
        <v>15</v>
      </c>
      <c r="F7" s="10" t="s">
        <v>98</v>
      </c>
      <c r="H7" s="10" t="s">
        <v>167</v>
      </c>
      <c r="I7" s="118">
        <v>0.44</v>
      </c>
      <c r="J7" s="119">
        <v>0.8</v>
      </c>
      <c r="L7" s="10" t="s">
        <v>30</v>
      </c>
      <c r="M7" s="10"/>
      <c r="S7" s="10" t="s">
        <v>141</v>
      </c>
      <c r="W7" s="10" t="s">
        <v>167</v>
      </c>
      <c r="X7" s="10" t="s">
        <v>131</v>
      </c>
    </row>
    <row r="8" spans="2:26" ht="22.5" customHeight="1">
      <c r="B8" s="310"/>
      <c r="F8" s="10" t="s">
        <v>99</v>
      </c>
      <c r="H8" s="10" t="s">
        <v>2</v>
      </c>
      <c r="I8" s="118">
        <v>1.07</v>
      </c>
      <c r="J8" s="119">
        <v>0.25</v>
      </c>
      <c r="L8" s="10" t="s">
        <v>31</v>
      </c>
      <c r="M8" s="10"/>
      <c r="W8" s="10" t="s">
        <v>2</v>
      </c>
      <c r="X8" s="10" t="s">
        <v>131</v>
      </c>
    </row>
    <row r="9" spans="2:26" ht="22.5" customHeight="1">
      <c r="B9" s="5"/>
      <c r="H9" s="10" t="s">
        <v>1</v>
      </c>
      <c r="I9" s="118">
        <v>1.07</v>
      </c>
      <c r="J9" s="119">
        <v>0.8</v>
      </c>
      <c r="L9" s="10" t="s">
        <v>136</v>
      </c>
      <c r="M9" s="10"/>
      <c r="W9" s="10" t="s">
        <v>1</v>
      </c>
      <c r="X9" s="10" t="s">
        <v>131</v>
      </c>
    </row>
    <row r="10" spans="2:26" ht="22.5" customHeight="1">
      <c r="H10" s="10" t="s">
        <v>0</v>
      </c>
      <c r="I10" s="118">
        <v>1.07</v>
      </c>
      <c r="J10" s="119">
        <v>0.8</v>
      </c>
      <c r="L10" s="10" t="s">
        <v>137</v>
      </c>
      <c r="M10" s="10"/>
      <c r="W10" s="10" t="s">
        <v>0</v>
      </c>
      <c r="X10" s="10" t="s">
        <v>131</v>
      </c>
    </row>
    <row r="11" spans="2:26" ht="22.5" customHeight="1">
      <c r="H11" s="10" t="s">
        <v>24</v>
      </c>
      <c r="I11" s="118">
        <v>1.65</v>
      </c>
      <c r="J11" s="119">
        <v>0.8</v>
      </c>
      <c r="L11" s="10" t="s">
        <v>32</v>
      </c>
      <c r="M11" s="10"/>
      <c r="W11" s="10" t="s">
        <v>24</v>
      </c>
      <c r="X11" s="10" t="s">
        <v>131</v>
      </c>
    </row>
    <row r="12" spans="2:26" ht="22.5" customHeight="1">
      <c r="H12" s="10" t="s">
        <v>23</v>
      </c>
      <c r="I12" s="118">
        <v>1.65</v>
      </c>
      <c r="J12" s="119">
        <v>0.8</v>
      </c>
      <c r="L12" s="5"/>
      <c r="M12" s="5"/>
      <c r="W12" s="10" t="s">
        <v>23</v>
      </c>
      <c r="X12" s="10" t="s">
        <v>131</v>
      </c>
    </row>
    <row r="13" spans="2:26" ht="22.5" customHeight="1">
      <c r="H13" s="117" t="s">
        <v>27</v>
      </c>
      <c r="I13" s="118"/>
      <c r="J13" s="119"/>
      <c r="L13" s="5"/>
      <c r="M13" s="5"/>
      <c r="W13" s="10" t="s">
        <v>3</v>
      </c>
      <c r="X13" s="118" t="s">
        <v>132</v>
      </c>
    </row>
    <row r="14" spans="2:26" ht="22.5" customHeight="1">
      <c r="H14" s="10" t="s">
        <v>3</v>
      </c>
      <c r="I14" s="118">
        <v>1.46</v>
      </c>
      <c r="J14" s="119">
        <v>0.1</v>
      </c>
      <c r="W14" s="5"/>
      <c r="X14" s="121"/>
    </row>
    <row r="15" spans="2:26" ht="22.5" customHeight="1">
      <c r="H15" s="5"/>
      <c r="I15" s="121"/>
      <c r="J15" s="122"/>
    </row>
  </sheetData>
  <mergeCells count="3">
    <mergeCell ref="H2:I2"/>
    <mergeCell ref="O2:P2"/>
    <mergeCell ref="W2:X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2015 Proof of Project Milestone</vt:lpstr>
      <vt:lpstr>Export to Grid Calculation</vt:lpstr>
      <vt:lpstr>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SGIP Reservation Request Form (v.1.0)</dc:title>
  <dc:creator>Billy Gamboa</dc:creator>
  <cp:keywords>SGIP, Reservation Request, Incentive Calculator</cp:keywords>
  <cp:lastModifiedBy>Akash Gupta</cp:lastModifiedBy>
  <cp:lastPrinted>2013-02-06T09:09:16Z</cp:lastPrinted>
  <dcterms:created xsi:type="dcterms:W3CDTF">2012-10-13T23:01:53Z</dcterms:created>
  <dcterms:modified xsi:type="dcterms:W3CDTF">2015-08-04T23:47:39Z</dcterms:modified>
</cp:coreProperties>
</file>